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Adam Curran\OneDrive - The Eastern PA Conference - UMC\Documents\UMC Docs\Excel\Church Conference Forms\Compensation Form\Report\2026 Form\"/>
    </mc:Choice>
  </mc:AlternateContent>
  <xr:revisionPtr revIDLastSave="0" documentId="13_ncr:1_{AE9D8918-A976-486F-9E61-CD7C8C5836E3}" xr6:coauthVersionLast="47" xr6:coauthVersionMax="47" xr10:uidLastSave="{00000000-0000-0000-0000-000000000000}"/>
  <bookViews>
    <workbookView xWindow="-28920" yWindow="-120" windowWidth="29040" windowHeight="15720" firstSheet="1" activeTab="1" xr2:uid="{6F9F7F9E-A8E2-4BF1-8071-BF18F6AED62A}"/>
  </bookViews>
  <sheets>
    <sheet name="table" sheetId="3" state="hidden" r:id="rId1"/>
    <sheet name="Comp Form" sheetId="1" r:id="rId2"/>
    <sheet name="Minimum Salary" sheetId="4" r:id="rId3"/>
    <sheet name="Staff Info" sheetId="2" state="hidden" r:id="rId4"/>
  </sheets>
  <definedNames>
    <definedName name="_xlnm.Print_Area" localSheetId="2">'Minimum Salary'!$A$1:$I$27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1" l="1"/>
  <c r="M54" i="1"/>
  <c r="L54" i="1"/>
  <c r="K54" i="1"/>
  <c r="J54" i="1"/>
  <c r="J6" i="3"/>
  <c r="J5" i="3"/>
  <c r="J4" i="3"/>
  <c r="J3" i="3"/>
  <c r="J2" i="3"/>
  <c r="Q6" i="3"/>
  <c r="P6" i="3"/>
  <c r="O6" i="3"/>
  <c r="M6" i="3"/>
  <c r="L6" i="3"/>
  <c r="K6" i="3"/>
  <c r="Q5" i="3"/>
  <c r="P5" i="3"/>
  <c r="O5" i="3"/>
  <c r="M5" i="3"/>
  <c r="L5" i="3"/>
  <c r="K5" i="3"/>
  <c r="Q4" i="3"/>
  <c r="P4" i="3"/>
  <c r="O4" i="3"/>
  <c r="M4" i="3"/>
  <c r="L4" i="3"/>
  <c r="K4" i="3"/>
  <c r="Q3" i="3"/>
  <c r="P3" i="3"/>
  <c r="O3" i="3"/>
  <c r="M3" i="3"/>
  <c r="L3" i="3"/>
  <c r="K3" i="3"/>
  <c r="Q2" i="3"/>
  <c r="P2" i="3"/>
  <c r="O2" i="3"/>
  <c r="M2" i="3"/>
  <c r="L2" i="3"/>
  <c r="K2" i="3"/>
  <c r="T6" i="3"/>
  <c r="S6" i="3"/>
  <c r="T5" i="3"/>
  <c r="S5" i="3"/>
  <c r="T4" i="3"/>
  <c r="S4" i="3"/>
  <c r="T3" i="3"/>
  <c r="S3" i="3"/>
  <c r="T2" i="3"/>
  <c r="S2" i="3"/>
  <c r="AE6" i="3"/>
  <c r="AE5" i="3"/>
  <c r="AE4" i="3"/>
  <c r="AE3" i="3"/>
  <c r="AE2" i="3"/>
  <c r="AS6" i="3"/>
  <c r="AR6" i="3"/>
  <c r="AQ6" i="3"/>
  <c r="AO6" i="3"/>
  <c r="AL6" i="3"/>
  <c r="AS5" i="3"/>
  <c r="AR5" i="3"/>
  <c r="AQ5" i="3"/>
  <c r="AO5" i="3"/>
  <c r="AL5" i="3"/>
  <c r="AS4" i="3"/>
  <c r="AR4" i="3"/>
  <c r="AQ4" i="3"/>
  <c r="AO4" i="3"/>
  <c r="AL4" i="3"/>
  <c r="AS3" i="3"/>
  <c r="AR3" i="3"/>
  <c r="AQ3" i="3"/>
  <c r="AO3" i="3"/>
  <c r="AL3" i="3"/>
  <c r="AS2" i="3"/>
  <c r="AR2" i="3"/>
  <c r="AQ2" i="3"/>
  <c r="AO2" i="3"/>
  <c r="AL2" i="3"/>
  <c r="O9" i="1" l="1"/>
  <c r="I6" i="3" s="1"/>
  <c r="M9" i="1"/>
  <c r="I5" i="3" s="1"/>
  <c r="J9" i="1"/>
  <c r="I4" i="3" s="1"/>
  <c r="F9" i="1"/>
  <c r="I3" i="3" s="1"/>
  <c r="C9" i="1"/>
  <c r="I2" i="3" s="1"/>
  <c r="P62" i="1" l="1"/>
  <c r="B24" i="4" l="1"/>
  <c r="C24" i="4"/>
  <c r="D24" i="4"/>
  <c r="E24" i="4"/>
  <c r="B23" i="4"/>
  <c r="C23" i="4"/>
  <c r="D23" i="4"/>
  <c r="E23" i="4"/>
  <c r="B22" i="4"/>
  <c r="C22" i="4"/>
  <c r="D22" i="4"/>
  <c r="E22" i="4"/>
  <c r="B21" i="4"/>
  <c r="C21" i="4"/>
  <c r="D21" i="4"/>
  <c r="E21" i="4"/>
  <c r="B20" i="4"/>
  <c r="C20" i="4"/>
  <c r="D20" i="4"/>
  <c r="E20" i="4"/>
  <c r="E19" i="4"/>
  <c r="D19" i="4"/>
  <c r="C19" i="4"/>
  <c r="B19" i="4"/>
  <c r="E6" i="4" l="1"/>
  <c r="E7" i="4"/>
  <c r="E8" i="4"/>
  <c r="E9" i="4"/>
  <c r="E10" i="4"/>
  <c r="E11" i="4"/>
  <c r="E12" i="4"/>
  <c r="E13" i="4"/>
  <c r="E14" i="4"/>
  <c r="E15" i="4"/>
  <c r="E16" i="4"/>
  <c r="E17" i="4"/>
  <c r="E18" i="4"/>
  <c r="E5" i="4"/>
  <c r="D6" i="4"/>
  <c r="D7" i="4"/>
  <c r="D8" i="4"/>
  <c r="D9" i="4"/>
  <c r="D10" i="4"/>
  <c r="D11" i="4"/>
  <c r="D12" i="4"/>
  <c r="D13" i="4"/>
  <c r="D14" i="4"/>
  <c r="D15" i="4"/>
  <c r="D16" i="4"/>
  <c r="D17" i="4"/>
  <c r="D18" i="4"/>
  <c r="D5" i="4"/>
  <c r="C6" i="4"/>
  <c r="C7" i="4"/>
  <c r="C8" i="4"/>
  <c r="C9" i="4"/>
  <c r="C10" i="4"/>
  <c r="C11" i="4"/>
  <c r="C12" i="4"/>
  <c r="C13" i="4"/>
  <c r="C14" i="4"/>
  <c r="C15" i="4"/>
  <c r="C16" i="4"/>
  <c r="C17" i="4"/>
  <c r="C18" i="4"/>
  <c r="C5" i="4"/>
  <c r="B6" i="4"/>
  <c r="B7" i="4"/>
  <c r="B8" i="4"/>
  <c r="B9" i="4"/>
  <c r="B10" i="4"/>
  <c r="B11" i="4"/>
  <c r="B12" i="4"/>
  <c r="B13" i="4"/>
  <c r="B14" i="4"/>
  <c r="B15" i="4"/>
  <c r="B16" i="4"/>
  <c r="B17" i="4"/>
  <c r="B18" i="4"/>
  <c r="B5" i="4"/>
  <c r="A89" i="1"/>
  <c r="A93" i="1"/>
  <c r="A92" i="1"/>
  <c r="A91" i="1"/>
  <c r="A90" i="1"/>
  <c r="A88" i="1"/>
  <c r="A87" i="1"/>
  <c r="A86" i="1"/>
  <c r="A85" i="1"/>
  <c r="A84" i="1"/>
  <c r="C119" i="1"/>
  <c r="C118" i="1"/>
  <c r="C117" i="1"/>
  <c r="C116" i="1"/>
  <c r="C115" i="1"/>
  <c r="C140" i="1"/>
  <c r="C139" i="1"/>
  <c r="C138" i="1"/>
  <c r="C137" i="1"/>
  <c r="C136" i="1"/>
  <c r="C133" i="1"/>
  <c r="C132" i="1"/>
  <c r="C131" i="1"/>
  <c r="C130" i="1"/>
  <c r="C129" i="1"/>
  <c r="J19" i="1" l="1"/>
  <c r="N2" i="3" s="1"/>
  <c r="I169" i="1" l="1"/>
  <c r="I167" i="1"/>
  <c r="I165" i="1"/>
  <c r="I163" i="1"/>
  <c r="I161" i="1"/>
  <c r="A169" i="1"/>
  <c r="A167" i="1"/>
  <c r="A165" i="1"/>
  <c r="A163" i="1"/>
  <c r="A161" i="1"/>
  <c r="P69" i="1"/>
  <c r="P68" i="1"/>
  <c r="P67" i="1"/>
  <c r="N70" i="1"/>
  <c r="AT6" i="3" s="1"/>
  <c r="M70" i="1"/>
  <c r="AT5" i="3" s="1"/>
  <c r="L70" i="1"/>
  <c r="AT4" i="3" s="1"/>
  <c r="K70" i="1"/>
  <c r="AT3" i="3" s="1"/>
  <c r="J70" i="1"/>
  <c r="AT2" i="3" s="1"/>
  <c r="P70" i="1" l="1"/>
  <c r="P23" i="1" l="1"/>
  <c r="P24" i="1"/>
  <c r="P14" i="1"/>
  <c r="P15" i="1"/>
  <c r="P16" i="1"/>
  <c r="N63" i="1" l="1"/>
  <c r="N33" i="1"/>
  <c r="N12" i="1"/>
  <c r="M12" i="1"/>
  <c r="M33" i="1"/>
  <c r="M63" i="1"/>
  <c r="L63" i="1"/>
  <c r="L33" i="1"/>
  <c r="L12" i="1"/>
  <c r="K12" i="1"/>
  <c r="K33" i="1"/>
  <c r="K63" i="1"/>
  <c r="J63" i="1"/>
  <c r="J33" i="1"/>
  <c r="J12" i="1"/>
  <c r="H4" i="4"/>
  <c r="G4" i="4"/>
  <c r="F4" i="4"/>
  <c r="O8" i="1"/>
  <c r="M8" i="1"/>
  <c r="J8" i="1"/>
  <c r="F8" i="1"/>
  <c r="C8" i="1"/>
  <c r="P58" i="1"/>
  <c r="P51" i="1"/>
  <c r="P29" i="1"/>
  <c r="P28" i="1"/>
  <c r="P22" i="1"/>
  <c r="P25" i="1"/>
  <c r="P21" i="1"/>
  <c r="P17" i="1"/>
  <c r="P18" i="1"/>
  <c r="P13" i="1"/>
  <c r="M26" i="1"/>
  <c r="R5" i="3" s="1"/>
  <c r="N26" i="1"/>
  <c r="R6" i="3" s="1"/>
  <c r="N19" i="1"/>
  <c r="N6" i="3" s="1"/>
  <c r="M19" i="1"/>
  <c r="N5" i="3" s="1"/>
  <c r="L26" i="1"/>
  <c r="R4" i="3" s="1"/>
  <c r="K26" i="1"/>
  <c r="R3" i="3" s="1"/>
  <c r="J26" i="1"/>
  <c r="R2" i="3" s="1"/>
  <c r="L19" i="1"/>
  <c r="N4" i="3" s="1"/>
  <c r="K19" i="1"/>
  <c r="N3" i="3" s="1"/>
  <c r="J31" i="1" l="1"/>
  <c r="V2" i="3" s="1"/>
  <c r="K31" i="1"/>
  <c r="V3" i="3" s="1"/>
  <c r="N31" i="1"/>
  <c r="V6" i="3" s="1"/>
  <c r="M31" i="1"/>
  <c r="V5" i="3" s="1"/>
  <c r="L31" i="1"/>
  <c r="V4" i="3" s="1"/>
  <c r="O36" i="1" a="1"/>
  <c r="O36" i="1" s="1"/>
  <c r="H19" i="4"/>
  <c r="H20" i="4"/>
  <c r="H21" i="4"/>
  <c r="H22" i="4"/>
  <c r="H23" i="4"/>
  <c r="H24" i="4"/>
  <c r="F19" i="4"/>
  <c r="F21" i="4"/>
  <c r="F20" i="4"/>
  <c r="F22" i="4"/>
  <c r="F23" i="4"/>
  <c r="F24" i="4"/>
  <c r="G19" i="4"/>
  <c r="G20" i="4"/>
  <c r="G22" i="4"/>
  <c r="G21" i="4"/>
  <c r="G23" i="4"/>
  <c r="G24" i="4"/>
  <c r="H6" i="4"/>
  <c r="H14" i="4"/>
  <c r="H15" i="4"/>
  <c r="H16" i="4"/>
  <c r="H9" i="4"/>
  <c r="H17" i="4"/>
  <c r="H18" i="4"/>
  <c r="H12" i="4"/>
  <c r="H5" i="4"/>
  <c r="H7" i="4"/>
  <c r="H13" i="4"/>
  <c r="H8" i="4"/>
  <c r="H10" i="4"/>
  <c r="H11" i="4"/>
  <c r="F7" i="4"/>
  <c r="F15" i="4"/>
  <c r="F8" i="4"/>
  <c r="F16" i="4"/>
  <c r="F9" i="4"/>
  <c r="F17" i="4"/>
  <c r="F10" i="4"/>
  <c r="F18" i="4"/>
  <c r="F11" i="4"/>
  <c r="F5" i="4"/>
  <c r="F12" i="4"/>
  <c r="F13" i="4"/>
  <c r="F6" i="4"/>
  <c r="F14" i="4"/>
  <c r="G7" i="4"/>
  <c r="G15" i="4"/>
  <c r="G8" i="4"/>
  <c r="G16" i="4"/>
  <c r="G9" i="4"/>
  <c r="G17" i="4"/>
  <c r="G10" i="4"/>
  <c r="G18" i="4"/>
  <c r="G11" i="4"/>
  <c r="G5" i="4"/>
  <c r="G13" i="4"/>
  <c r="G6" i="4"/>
  <c r="G14" i="4"/>
  <c r="G12" i="4"/>
  <c r="M30" i="1"/>
  <c r="U5" i="3" s="1"/>
  <c r="P26" i="1"/>
  <c r="N30" i="1"/>
  <c r="U6" i="3" s="1"/>
  <c r="P19" i="1"/>
  <c r="L30" i="1"/>
  <c r="U4" i="3" s="1"/>
  <c r="J30" i="1"/>
  <c r="U2" i="3" s="1"/>
  <c r="K30" i="1"/>
  <c r="U3" i="3" s="1"/>
  <c r="J32" i="1" l="1"/>
  <c r="W2" i="3" s="1"/>
  <c r="K37" i="1"/>
  <c r="Y3" i="3" s="1"/>
  <c r="N37" i="1"/>
  <c r="Y6" i="3" s="1"/>
  <c r="L37" i="1"/>
  <c r="Y4" i="3" s="1"/>
  <c r="J37" i="1"/>
  <c r="Y2" i="3" s="1"/>
  <c r="M37" i="1"/>
  <c r="Y5" i="3" s="1"/>
  <c r="K32" i="1"/>
  <c r="W3" i="3" s="1"/>
  <c r="L32" i="1"/>
  <c r="W4" i="3" s="1"/>
  <c r="M32" i="1"/>
  <c r="W5" i="3" s="1"/>
  <c r="N32" i="1"/>
  <c r="W6" i="3" s="1"/>
  <c r="O37" i="1"/>
  <c r="I115" i="1" s="1"/>
  <c r="P30" i="1"/>
  <c r="P31" i="1"/>
  <c r="I133" i="1" l="1"/>
  <c r="I137" i="1"/>
  <c r="I136" i="1"/>
  <c r="I131" i="1"/>
  <c r="I119" i="1"/>
  <c r="I132" i="1"/>
  <c r="I117" i="1"/>
  <c r="I140" i="1"/>
  <c r="I118" i="1"/>
  <c r="I139" i="1"/>
  <c r="I130" i="1"/>
  <c r="I138" i="1"/>
  <c r="I129" i="1"/>
  <c r="I116" i="1"/>
  <c r="O34" i="1"/>
  <c r="P32" i="1"/>
  <c r="AH3" i="3" s="1"/>
  <c r="J57" i="1" l="1"/>
  <c r="AK2" i="3" s="1"/>
  <c r="AH2" i="3"/>
  <c r="AH5" i="3"/>
  <c r="AH6" i="3"/>
  <c r="AH4" i="3"/>
  <c r="N52" i="1"/>
  <c r="L52" i="1"/>
  <c r="M52" i="1"/>
  <c r="K52" i="1"/>
  <c r="J52" i="1"/>
  <c r="M57" i="1"/>
  <c r="AK5" i="3" s="1"/>
  <c r="L57" i="1"/>
  <c r="AK4" i="3" s="1"/>
  <c r="N57" i="1"/>
  <c r="AK6" i="3" s="1"/>
  <c r="K57" i="1"/>
  <c r="AK3" i="3" s="1"/>
  <c r="AF5" i="3" l="1"/>
  <c r="M53" i="1"/>
  <c r="AG5" i="3" s="1"/>
  <c r="M55" i="1"/>
  <c r="AI5" i="3" s="1"/>
  <c r="AF4" i="3"/>
  <c r="L53" i="1"/>
  <c r="AG4" i="3" s="1"/>
  <c r="L55" i="1"/>
  <c r="AI4" i="3" s="1"/>
  <c r="N53" i="1"/>
  <c r="AG6" i="3" s="1"/>
  <c r="N55" i="1"/>
  <c r="AI6" i="3" s="1"/>
  <c r="J55" i="1"/>
  <c r="AI2" i="3" s="1"/>
  <c r="J53" i="1"/>
  <c r="AG2" i="3" s="1"/>
  <c r="AF3" i="3"/>
  <c r="K55" i="1"/>
  <c r="AI3" i="3" s="1"/>
  <c r="K53" i="1"/>
  <c r="AG3" i="3" s="1"/>
  <c r="AF6" i="3"/>
  <c r="L59" i="1"/>
  <c r="AM4" i="3" s="1"/>
  <c r="N56" i="1"/>
  <c r="AJ6" i="3" s="1"/>
  <c r="AF2" i="3"/>
  <c r="L56" i="1"/>
  <c r="AJ4" i="3" s="1"/>
  <c r="J56" i="1"/>
  <c r="AJ2" i="3" s="1"/>
  <c r="N59" i="1"/>
  <c r="AM6" i="3" s="1"/>
  <c r="M59" i="1"/>
  <c r="AM5" i="3" s="1"/>
  <c r="P54" i="1"/>
  <c r="J59" i="1"/>
  <c r="AM2" i="3" s="1"/>
  <c r="K56" i="1"/>
  <c r="AJ3" i="3" s="1"/>
  <c r="K59" i="1"/>
  <c r="AM3" i="3" s="1"/>
  <c r="M56" i="1"/>
  <c r="AJ5" i="3" s="1"/>
  <c r="P57" i="1"/>
  <c r="P52" i="1"/>
  <c r="N60" i="1" l="1"/>
  <c r="AN6" i="3" s="1"/>
  <c r="L60" i="1"/>
  <c r="AN4" i="3" s="1"/>
  <c r="P59" i="1"/>
  <c r="K60" i="1"/>
  <c r="AN3" i="3" s="1"/>
  <c r="M60" i="1"/>
  <c r="AN5" i="3" s="1"/>
  <c r="J60" i="1"/>
  <c r="AN2" i="3" s="1"/>
  <c r="P55" i="1"/>
  <c r="P56" i="1"/>
  <c r="P53" i="1"/>
  <c r="N64" i="1" l="1"/>
  <c r="AP6" i="3" s="1"/>
  <c r="K64" i="1"/>
  <c r="AP3" i="3" s="1"/>
  <c r="J64" i="1"/>
  <c r="AP2" i="3" s="1"/>
  <c r="M64" i="1"/>
  <c r="AP5" i="3" s="1"/>
  <c r="L64" i="1"/>
  <c r="AP4" i="3" s="1"/>
  <c r="P60" i="1"/>
  <c r="N71" i="1" l="1"/>
  <c r="G6" i="3"/>
  <c r="E6" i="3"/>
  <c r="A6" i="3"/>
  <c r="F6" i="3"/>
  <c r="H6" i="3"/>
  <c r="M71" i="1"/>
  <c r="B5" i="3"/>
  <c r="J71" i="1"/>
  <c r="L71" i="1"/>
  <c r="K71" i="1"/>
  <c r="P64" i="1"/>
  <c r="D5" i="3" l="1"/>
  <c r="C5" i="3"/>
  <c r="F3" i="3"/>
  <c r="A3" i="3"/>
  <c r="E3" i="3"/>
  <c r="G3" i="3"/>
  <c r="H3" i="3"/>
  <c r="G4" i="3"/>
  <c r="A4" i="3"/>
  <c r="F4" i="3"/>
  <c r="E4" i="3"/>
  <c r="H4" i="3"/>
  <c r="A5" i="3"/>
  <c r="F5" i="3"/>
  <c r="G5" i="3"/>
  <c r="E5" i="3"/>
  <c r="H5" i="3"/>
  <c r="E2" i="3"/>
  <c r="F2" i="3"/>
  <c r="A2" i="3"/>
  <c r="G2" i="3"/>
  <c r="H2" i="3"/>
  <c r="AA6" i="3"/>
  <c r="X6" i="3"/>
  <c r="Z6" i="3"/>
  <c r="AD6" i="3"/>
  <c r="AB6" i="3"/>
  <c r="AC6" i="3"/>
  <c r="B6" i="3"/>
  <c r="C6" i="3"/>
  <c r="D6" i="3"/>
  <c r="C4" i="3"/>
  <c r="B4" i="3"/>
  <c r="D4" i="3"/>
  <c r="D3" i="3"/>
  <c r="B3" i="3"/>
  <c r="C3" i="3"/>
  <c r="C2" i="3"/>
  <c r="B2" i="3"/>
  <c r="D2" i="3"/>
  <c r="P71" i="1"/>
  <c r="X3" i="3" l="1"/>
  <c r="AA3" i="3"/>
  <c r="AC3" i="3"/>
  <c r="AB3" i="3"/>
  <c r="Z3" i="3"/>
  <c r="AD3" i="3"/>
  <c r="X2" i="3"/>
  <c r="AB2" i="3"/>
  <c r="AA2" i="3"/>
  <c r="AC2" i="3"/>
  <c r="Z2" i="3"/>
  <c r="AD2" i="3"/>
  <c r="AA5" i="3"/>
  <c r="Z5" i="3"/>
  <c r="AB5" i="3"/>
  <c r="X5" i="3"/>
  <c r="AC5" i="3"/>
  <c r="AD5" i="3"/>
  <c r="Z4" i="3"/>
  <c r="AC4" i="3"/>
  <c r="AD4" i="3"/>
  <c r="AA4" i="3"/>
  <c r="AB4" i="3"/>
  <c r="X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<sst xmlns="http://schemas.openxmlformats.org/spreadsheetml/2006/main" count="617" uniqueCount="584">
  <si>
    <t>date_effective</t>
  </si>
  <si>
    <t>district</t>
  </si>
  <si>
    <t>clergy_name</t>
  </si>
  <si>
    <t>status_time</t>
  </si>
  <si>
    <t>conf_relation</t>
  </si>
  <si>
    <t>church_name</t>
  </si>
  <si>
    <t>church_number</t>
  </si>
  <si>
    <t>salary</t>
  </si>
  <si>
    <t xml:space="preserve">Church # </t>
  </si>
  <si>
    <t>Church #</t>
  </si>
  <si>
    <t>TOTAL</t>
  </si>
  <si>
    <t>GNJAC Salary Supplement Grant</t>
  </si>
  <si>
    <t>GNJAC Other Grant</t>
  </si>
  <si>
    <r>
      <rPr>
        <b/>
        <sz val="11"/>
        <color theme="1"/>
        <rFont val="Aptos Narrow"/>
        <family val="2"/>
        <scheme val="minor"/>
      </rPr>
      <t>Taxable Cash Allowances</t>
    </r>
    <r>
      <rPr>
        <sz val="11"/>
        <color theme="1"/>
        <rFont val="Aptos Narrow"/>
        <family val="2"/>
        <scheme val="minor"/>
      </rPr>
      <t xml:space="preserve"> </t>
    </r>
    <r>
      <rPr>
        <sz val="10"/>
        <color theme="1"/>
        <rFont val="Aptos Narrow"/>
        <family val="2"/>
        <scheme val="minor"/>
      </rPr>
      <t xml:space="preserve">(e.g. non-vouchered expenses, bonuses, etc.)  </t>
    </r>
  </si>
  <si>
    <t xml:space="preserve"> SALARY COMPONENTS</t>
  </si>
  <si>
    <r>
      <t xml:space="preserve">Tax Sheltered Salary Items </t>
    </r>
    <r>
      <rPr>
        <sz val="11"/>
        <color indexed="8"/>
        <rFont val="Aptos Narrow"/>
        <family val="2"/>
        <scheme val="minor"/>
      </rPr>
      <t>(Do not report in W-2 Box 1)</t>
    </r>
  </si>
  <si>
    <t>Parsonage</t>
  </si>
  <si>
    <t xml:space="preserve">C. If you are serving 3/4 or 1/2 time as an OF, enter X here  </t>
  </si>
  <si>
    <t xml:space="preserve">D. If you are serving 1/2 time as an AM  FD  FE  PD  OA  OD  OE  OP  PE, enter X here  </t>
  </si>
  <si>
    <t>E. If you are serving 1/4 time as an PL  AM  FD  FE  PD  OA  OD  OE  OF  OP  PE, enter X here</t>
  </si>
  <si>
    <r>
      <rPr>
        <b/>
        <sz val="11"/>
        <color theme="1"/>
        <rFont val="Aptos Narrow"/>
        <family val="2"/>
        <scheme val="minor"/>
      </rPr>
      <t>Other Non-Taxable Benefits</t>
    </r>
    <r>
      <rPr>
        <sz val="10.5"/>
        <color theme="1"/>
        <rFont val="Aptos Narrow"/>
        <family val="2"/>
        <scheme val="minor"/>
      </rPr>
      <t xml:space="preserve"> </t>
    </r>
    <r>
      <rPr>
        <sz val="10.5"/>
        <rFont val="Aptos Narrow"/>
        <family val="2"/>
        <scheme val="minor"/>
      </rPr>
      <t>(See instructions for directions/examples)</t>
    </r>
  </si>
  <si>
    <r>
      <t>Total Salary and Benefits Package</t>
    </r>
    <r>
      <rPr>
        <sz val="11"/>
        <color indexed="8"/>
        <rFont val="Aptos Narrow"/>
        <family val="2"/>
        <scheme val="minor"/>
      </rPr>
      <t xml:space="preserve"> </t>
    </r>
  </si>
  <si>
    <t xml:space="preserve">Type names below to sign. It is required to add these electronic signatures before sending this report to the regional office. Clicking the "I Agree" box indicates that the salary package has been approved by the appropriate body. Final approval is contingent upon a vote by the church conference and the signature of the District Superintendent. </t>
  </si>
  <si>
    <t xml:space="preserve">DATE APPROVED AT CHURCH CONFERENCE: </t>
  </si>
  <si>
    <t xml:space="preserve">TYPE NAME </t>
  </si>
  <si>
    <t>I AGREE</t>
  </si>
  <si>
    <t>TYPE EMAIL ADDRESS</t>
  </si>
  <si>
    <t>Clergy:</t>
  </si>
  <si>
    <t>District Superintendent:</t>
  </si>
  <si>
    <t>Pastor:</t>
  </si>
  <si>
    <t>Address:</t>
  </si>
  <si>
    <t xml:space="preserve">A.  PARSONAGE – Church Provided Housing </t>
  </si>
  <si>
    <t>Church/Housing Exclusion Amount:</t>
  </si>
  <si>
    <t>B.  NO PARSONAGE – Minister Provided Housing</t>
  </si>
  <si>
    <t>Church/Housing Allowance Amount:</t>
  </si>
  <si>
    <t>Housing exclusion is meant to defray costs incurred by clergy which directly relates to providing a home for self and family including, as applicable, any and all of the following: rent, mortgage payments and interest, furnishings, insurance, real estate taxes, utilities, maintenance and upkeep, and any other expenses directly associated with the provision of housing. Allowable expenses do not include personal items such as food, clothing, entertainment, and domestic help.</t>
  </si>
  <si>
    <t>The IRS rule of limitation on this benefit is the lesser amount of 1) the amount of the housing exclusion resolution as herein designated; 2) The amount actually spent for the provision of housing; or 3) The fair market rental value of the home or parsonage plus all other related expenses in the particular neighborhood of the residence in question.</t>
  </si>
  <si>
    <t xml:space="preserve">This resolution sets a “not to exceed” amount for actual housing expenses that clergy may expend from salary and/or cash housing allowance. Only the actual expenses may be excluded from income. Clergy must keep careful records such as actual invoices which would substantiate the exclusion in an IRS audit. Clergy add the unexpended difference on his/her Form 1040. Those clergy who receive a cash housing allowance in lieu of a parsonage may set higher limits but must follow the above IRS rules. Note: Clergy must include fair market rental value of their housing when paying Self-Employment Tax (S.E.C.A.) of 15.3%. Distribute copies to: Pastor, District Superintendent, Church Treasurer(s). </t>
  </si>
  <si>
    <t xml:space="preserve">TYPE NAME BELOW TO SIGN. CHECK THE "I AGREE" BOX TO INDICATE APPROVAL BY THE APPROPRIATE BODY. </t>
  </si>
  <si>
    <t>Date approved at church conference</t>
  </si>
  <si>
    <t>District Superintendent</t>
  </si>
  <si>
    <t>AF - Affiliate Member</t>
  </si>
  <si>
    <t>Full Time</t>
  </si>
  <si>
    <t>AM - Associate Member</t>
  </si>
  <si>
    <t>3/4</t>
  </si>
  <si>
    <t>1/2</t>
  </si>
  <si>
    <t>DM - Diaconal Minister</t>
  </si>
  <si>
    <t>1/4</t>
  </si>
  <si>
    <t>PD - Provisional Deacon</t>
  </si>
  <si>
    <t>PE - Provisional Elder</t>
  </si>
  <si>
    <t>RA - Retired Associate Member</t>
  </si>
  <si>
    <t>RL - Retired Local Pastor</t>
  </si>
  <si>
    <t>RP - Retired Provisional Member</t>
  </si>
  <si>
    <t>LM - Certified Lay Minister</t>
  </si>
  <si>
    <t>taxable_cash_allowance</t>
  </si>
  <si>
    <t>housing_allowance</t>
  </si>
  <si>
    <t>church_total_salary</t>
  </si>
  <si>
    <t>403b _investment</t>
  </si>
  <si>
    <t>housing_exclusion</t>
  </si>
  <si>
    <t>total_tax_sheltered_salary</t>
  </si>
  <si>
    <t>church_expenses_not_included</t>
  </si>
  <si>
    <t>cash_paid_to_clergy</t>
  </si>
  <si>
    <t>total_federal_taxable_salary</t>
  </si>
  <si>
    <t>total_salary</t>
  </si>
  <si>
    <t>parsonage_provided</t>
  </si>
  <si>
    <t>parsonage_value_pension</t>
  </si>
  <si>
    <t>serving_3/4 or 1/2 SP</t>
  </si>
  <si>
    <t>serving_3/4 or 1/2 OF</t>
  </si>
  <si>
    <t>serving_1/2 AM</t>
  </si>
  <si>
    <t>serving_1/4 PL</t>
  </si>
  <si>
    <t>health_insurance_premium</t>
  </si>
  <si>
    <t>pension_plan_comp</t>
  </si>
  <si>
    <t>cpp</t>
  </si>
  <si>
    <t>non-tax_benefits</t>
  </si>
  <si>
    <t>total_benefit_costs</t>
  </si>
  <si>
    <t>total_reimbursed_expense</t>
  </si>
  <si>
    <t>total_salary_benefits</t>
  </si>
  <si>
    <t>Select One - Dropdown</t>
  </si>
  <si>
    <t>Church Name - Dropdown</t>
  </si>
  <si>
    <t>campus</t>
  </si>
  <si>
    <t>appointment_status_church</t>
  </si>
  <si>
    <t>CLERGY COMPENSATION &amp; EXPENSE REPORT</t>
  </si>
  <si>
    <t>Appointment Status By Church</t>
  </si>
  <si>
    <t xml:space="preserve">COMMISSION ON EQUITABLE COMPENSATION                                             </t>
  </si>
  <si>
    <t>Allowable Years with Service Increments</t>
  </si>
  <si>
    <t>75% Local Pastor*</t>
  </si>
  <si>
    <t>50% Local Pastor*</t>
  </si>
  <si>
    <t>25% Local Pastor*</t>
  </si>
  <si>
    <t>Elders/Deacons/FTLP receive Housing or Parsonage</t>
  </si>
  <si>
    <t>Click here-return to Report</t>
  </si>
  <si>
    <t>SERVICE INCREMENTS = 1% PER YEAR</t>
  </si>
  <si>
    <t>SERVICE INCREMENTS INCLUDED IN TABLE ABOVE</t>
  </si>
  <si>
    <t>MINIMUM SALARY SCHEDULE</t>
  </si>
  <si>
    <r>
      <t xml:space="preserve">Date Effective: </t>
    </r>
    <r>
      <rPr>
        <b/>
        <sz val="12"/>
        <color rgb="FFFF0000"/>
        <rFont val="Aptos Narrow"/>
        <family val="2"/>
        <scheme val="minor"/>
      </rPr>
      <t>(Required)</t>
    </r>
  </si>
  <si>
    <r>
      <t xml:space="preserve">District: </t>
    </r>
    <r>
      <rPr>
        <b/>
        <sz val="12"/>
        <color rgb="FFFF0000"/>
        <rFont val="Aptos Narrow"/>
        <family val="2"/>
        <scheme val="minor"/>
      </rPr>
      <t>(Required)</t>
    </r>
  </si>
  <si>
    <r>
      <t xml:space="preserve">Clergy Name:  </t>
    </r>
    <r>
      <rPr>
        <b/>
        <sz val="12"/>
        <color rgb="FFFF0000"/>
        <rFont val="Aptos Narrow"/>
        <family val="2"/>
        <scheme val="minor"/>
      </rPr>
      <t>(Required)</t>
    </r>
  </si>
  <si>
    <r>
      <t xml:space="preserve">Full Appointment Status:  </t>
    </r>
    <r>
      <rPr>
        <b/>
        <sz val="12"/>
        <color rgb="FFFF0000"/>
        <rFont val="Aptos Narrow"/>
        <family val="2"/>
        <scheme val="minor"/>
      </rPr>
      <t>(Required)</t>
    </r>
  </si>
  <si>
    <r>
      <t xml:space="preserve">Conference Relationship: </t>
    </r>
    <r>
      <rPr>
        <b/>
        <sz val="12"/>
        <color rgb="FFFF0000"/>
        <rFont val="Aptos Narrow"/>
        <family val="2"/>
        <scheme val="minor"/>
      </rPr>
      <t>(Required)</t>
    </r>
  </si>
  <si>
    <r>
      <t xml:space="preserve">Church A  </t>
    </r>
    <r>
      <rPr>
        <b/>
        <sz val="12"/>
        <color rgb="FFFF0000"/>
        <rFont val="Aptos Narrow"/>
        <family val="2"/>
        <scheme val="minor"/>
      </rPr>
      <t>(Required)</t>
    </r>
  </si>
  <si>
    <r>
      <t xml:space="preserve">Church B          </t>
    </r>
    <r>
      <rPr>
        <b/>
        <sz val="12"/>
        <rFont val="Aptos Narrow"/>
        <family val="2"/>
        <scheme val="minor"/>
      </rPr>
      <t>(If Applicable)</t>
    </r>
  </si>
  <si>
    <t>Church C         (If Applicable)</t>
  </si>
  <si>
    <t>Church D          (If Applicable)</t>
  </si>
  <si>
    <t>Church E             (If Applicable)</t>
  </si>
  <si>
    <r>
      <rPr>
        <b/>
        <sz val="11"/>
        <color rgb="FFFF0000"/>
        <rFont val="Aptos Narrow"/>
        <family val="2"/>
        <scheme val="minor"/>
      </rPr>
      <t>Dental &amp; Vision Plans:</t>
    </r>
    <r>
      <rPr>
        <b/>
        <sz val="11"/>
        <color theme="1"/>
        <rFont val="Aptos Narrow"/>
        <family val="2"/>
        <scheme val="minor"/>
      </rPr>
      <t xml:space="preserve">  Churches will be billed directly for their pastor's dental and/or vision plan enrollment. These plan costs are not the church's responsibility. Churches should deduct this amount from the pastor's salary. </t>
    </r>
  </si>
  <si>
    <r>
      <rPr>
        <b/>
        <sz val="11"/>
        <color rgb="FFFF0000"/>
        <rFont val="Aptos Narrow"/>
        <family val="2"/>
        <scheme val="minor"/>
      </rPr>
      <t xml:space="preserve">Health Savings Account (HSA): </t>
    </r>
    <r>
      <rPr>
        <b/>
        <sz val="11"/>
        <color theme="1"/>
        <rFont val="Aptos Narrow"/>
        <family val="2"/>
        <scheme val="minor"/>
      </rPr>
      <t xml:space="preserve"> If receiving an HSA, an additional personal contribution can be made to this account instead of to a separate FSA. See report instructions for information on max allowable contribution. HSA contributions are not the church's responsibility. Churches should deduct this amount from the pastor's salary. </t>
    </r>
  </si>
  <si>
    <t>composite_rate</t>
  </si>
  <si>
    <r>
      <rPr>
        <b/>
        <u/>
        <sz val="12"/>
        <color rgb="FFFF0000"/>
        <rFont val="Aptos Narrow"/>
        <family val="2"/>
        <scheme val="minor"/>
      </rPr>
      <t>Only enter the pastor's address below</t>
    </r>
    <r>
      <rPr>
        <b/>
        <sz val="12"/>
        <color rgb="FFFF0000"/>
        <rFont val="Aptos Narrow"/>
        <family val="2"/>
        <scheme val="minor"/>
      </rPr>
      <t xml:space="preserve">. The remaining information below will automatically populate based on the information entered on the Clergy Compensation Report above (pages 1-2). Either box A or B should be completed below, but NOT both. </t>
    </r>
  </si>
  <si>
    <t>CLERGY HOUSING EXCLUSION RESOLUTION</t>
  </si>
  <si>
    <r>
      <rPr>
        <b/>
        <sz val="11"/>
        <color theme="1"/>
        <rFont val="Aptos Narrow"/>
        <family val="2"/>
        <scheme val="minor"/>
      </rPr>
      <t>Total Tax Sheltered Salary</t>
    </r>
    <r>
      <rPr>
        <sz val="10.5"/>
        <color theme="1"/>
        <rFont val="Aptos Narrow"/>
        <family val="2"/>
        <scheme val="minor"/>
      </rPr>
      <t xml:space="preserve"> (</t>
    </r>
    <r>
      <rPr>
        <sz val="10.5"/>
        <rFont val="Aptos Narrow"/>
        <family val="2"/>
        <scheme val="minor"/>
      </rPr>
      <t>Total of lines 5-8)</t>
    </r>
  </si>
  <si>
    <r>
      <rPr>
        <b/>
        <sz val="11"/>
        <color theme="1"/>
        <rFont val="Aptos Narrow"/>
        <family val="2"/>
        <scheme val="minor"/>
      </rPr>
      <t xml:space="preserve">Other Tax-Deferred IRS Section 403(b) Investment
</t>
    </r>
    <r>
      <rPr>
        <sz val="10.5"/>
        <color theme="1"/>
        <rFont val="Aptos Narrow"/>
        <family val="2"/>
        <scheme val="minor"/>
      </rPr>
      <t>Withheld from salary shown on line 4
Report in W-2 Box 12, Code E</t>
    </r>
  </si>
  <si>
    <r>
      <rPr>
        <b/>
        <sz val="11"/>
        <color theme="1"/>
        <rFont val="Aptos Narrow"/>
        <family val="2"/>
        <scheme val="minor"/>
      </rPr>
      <t xml:space="preserve">Flexible Spending Account Contribution (FSA)
</t>
    </r>
    <r>
      <rPr>
        <sz val="10.5"/>
        <color theme="1"/>
        <rFont val="Aptos Narrow"/>
        <family val="2"/>
        <scheme val="minor"/>
      </rPr>
      <t xml:space="preserve">If offered by local church, max allowable contribution is $2,850. Withheld from salary on line 4. IRS Section 125 Cafeteria Plan.                                                                                                                                                                                     Report in W-2 Box 14       </t>
    </r>
  </si>
  <si>
    <r>
      <rPr>
        <b/>
        <sz val="11"/>
        <color theme="1"/>
        <rFont val="Aptos Narrow"/>
        <family val="2"/>
        <scheme val="minor"/>
      </rPr>
      <t xml:space="preserve">Health Savings Account Contribution (HSA)
</t>
    </r>
    <r>
      <rPr>
        <sz val="10.5"/>
        <color theme="1"/>
        <rFont val="Aptos Narrow"/>
        <family val="2"/>
        <scheme val="minor"/>
      </rPr>
      <t>If enrolled in either the H1500, H2000, H3000, contributions may be made up to IRS limits $4,150 (single), $8,300 (family). Withheld from salary on</t>
    </r>
    <r>
      <rPr>
        <sz val="10.5"/>
        <color rgb="FFFF0000"/>
        <rFont val="Aptos Narrow"/>
        <family val="2"/>
        <scheme val="minor"/>
      </rPr>
      <t xml:space="preserve"> </t>
    </r>
    <r>
      <rPr>
        <sz val="10.5"/>
        <rFont val="Aptos Narrow"/>
        <family val="2"/>
        <scheme val="minor"/>
      </rPr>
      <t>line 4</t>
    </r>
    <r>
      <rPr>
        <sz val="10.5"/>
        <color theme="1"/>
        <rFont val="Aptos Narrow"/>
        <family val="2"/>
        <scheme val="minor"/>
      </rPr>
      <t xml:space="preserve">.                                                                                                                                                                                     Report in W-2 Box 12       </t>
    </r>
  </si>
  <si>
    <r>
      <rPr>
        <b/>
        <sz val="11"/>
        <color theme="1"/>
        <rFont val="Aptos Narrow"/>
        <family val="2"/>
        <scheme val="minor"/>
      </rPr>
      <t xml:space="preserve">Expenses </t>
    </r>
    <r>
      <rPr>
        <b/>
        <sz val="11"/>
        <rFont val="Aptos Narrow"/>
        <family val="2"/>
        <scheme val="minor"/>
      </rPr>
      <t>paid directly by the local church not included in
lines 1-9</t>
    </r>
    <r>
      <rPr>
        <sz val="10.5"/>
        <rFont val="Aptos Narrow"/>
        <family val="2"/>
        <scheme val="minor"/>
      </rPr>
      <t xml:space="preserve"> (See instructions for directions/examples)</t>
    </r>
  </si>
  <si>
    <r>
      <rPr>
        <b/>
        <sz val="11"/>
        <rFont val="Aptos Narrow"/>
        <family val="2"/>
        <scheme val="minor"/>
      </rPr>
      <t>Cash Paid to Clergy</t>
    </r>
    <r>
      <rPr>
        <b/>
        <sz val="10.5"/>
        <rFont val="Aptos Narrow"/>
        <family val="2"/>
        <scheme val="minor"/>
      </rPr>
      <t xml:space="preserve"> </t>
    </r>
    <r>
      <rPr>
        <sz val="10.5"/>
        <rFont val="Aptos Narrow"/>
        <family val="2"/>
        <scheme val="minor"/>
      </rPr>
      <t>(Line 4 minus lines 5, 6, 9)</t>
    </r>
  </si>
  <si>
    <r>
      <rPr>
        <b/>
        <sz val="11"/>
        <color theme="1"/>
        <rFont val="Aptos Narrow"/>
        <family val="2"/>
        <scheme val="minor"/>
      </rPr>
      <t>Total Federal Taxable Salary</t>
    </r>
    <r>
      <rPr>
        <sz val="11"/>
        <color theme="1"/>
        <rFont val="Aptos Narrow"/>
        <family val="2"/>
        <scheme val="minor"/>
      </rPr>
      <t xml:space="preserve"> </t>
    </r>
    <r>
      <rPr>
        <sz val="10.5"/>
        <rFont val="Aptos Narrow"/>
        <family val="2"/>
        <scheme val="minor"/>
      </rPr>
      <t>(Line 4 minus line 8)</t>
    </r>
  </si>
  <si>
    <r>
      <t xml:space="preserve">Number of Church Appointments </t>
    </r>
    <r>
      <rPr>
        <sz val="11"/>
        <color theme="1"/>
        <rFont val="Aptos Narrow"/>
        <family val="2"/>
        <scheme val="minor"/>
      </rPr>
      <t>(Based on entered Salaries)</t>
    </r>
  </si>
  <si>
    <t>Total Grants</t>
  </si>
  <si>
    <t>Church Budget Impact (Line 29 minus Total Grants)</t>
  </si>
  <si>
    <r>
      <t xml:space="preserve">Taxable Salary Items </t>
    </r>
    <r>
      <rPr>
        <sz val="11"/>
        <rFont val="Aptos Narrow"/>
        <family val="2"/>
        <scheme val="minor"/>
      </rPr>
      <t>(Report Lines 9 and 10 in W-2 Box 1)</t>
    </r>
  </si>
  <si>
    <r>
      <t xml:space="preserve">THEREFORE, BE IT RESOLVED that the above named Pastor is provided the rent-free use of housing and the value of the housing is excluded from income tax under Section 107 (Line 14 of the Clergy Compensation Report should have an X). BE IT FURTHER RESOLVED that the Administrative Board/Council or Church Conference of the above named charge hereby designates the amount listed above (this figure matches Line 7 of the Clergy Compensation Report) for the date effective year as a </t>
    </r>
    <r>
      <rPr>
        <b/>
        <sz val="12"/>
        <color theme="1"/>
        <rFont val="Aptos Narrow"/>
        <family val="2"/>
        <scheme val="minor"/>
      </rPr>
      <t>housing exclusion</t>
    </r>
    <r>
      <rPr>
        <sz val="12"/>
        <color theme="1"/>
        <rFont val="Aptos Narrow"/>
        <family val="2"/>
        <scheme val="minor"/>
      </rPr>
      <t xml:space="preserve"> for this Pastor whose residence is located at the above address.</t>
    </r>
  </si>
  <si>
    <r>
      <t xml:space="preserve">THEREFORE, BE IT RESOLVED that in lieu of church-provided housing, the charge or church will pay annually a cash </t>
    </r>
    <r>
      <rPr>
        <b/>
        <sz val="12"/>
        <color theme="1"/>
        <rFont val="Aptos Narrow"/>
        <family val="2"/>
        <scheme val="minor"/>
      </rPr>
      <t>housing allowance</t>
    </r>
    <r>
      <rPr>
        <sz val="12"/>
        <color theme="1"/>
        <rFont val="Aptos Narrow"/>
        <family val="2"/>
        <scheme val="minor"/>
      </rPr>
      <t xml:space="preserve"> in the amount listed above (this figure matches Line 3 of the Clergy Compensation Report), in addition to salary, to provide housing for the minister and family. BE IT FURTHER RESOLVED that the Administrative Board/Council or Church Conference of the above named charge hereby designates the amount listed above (</t>
    </r>
    <r>
      <rPr>
        <u/>
        <sz val="12"/>
        <color theme="1"/>
        <rFont val="Aptos Narrow"/>
        <family val="2"/>
        <scheme val="minor"/>
      </rPr>
      <t>set high enough to include the cash housing allowance if provided</t>
    </r>
    <r>
      <rPr>
        <sz val="12"/>
        <color theme="1"/>
        <rFont val="Aptos Narrow"/>
        <family val="2"/>
        <scheme val="minor"/>
      </rPr>
      <t xml:space="preserve">; this figure matches Line 7 of the Clergy Compensation Report) for the date effective year as a </t>
    </r>
    <r>
      <rPr>
        <b/>
        <sz val="12"/>
        <color theme="1"/>
        <rFont val="Aptos Narrow"/>
        <family val="2"/>
        <scheme val="minor"/>
      </rPr>
      <t>housing</t>
    </r>
    <r>
      <rPr>
        <sz val="12"/>
        <color theme="1"/>
        <rFont val="Aptos Narrow"/>
        <family val="2"/>
        <scheme val="minor"/>
      </rPr>
      <t xml:space="preserve"> </t>
    </r>
    <r>
      <rPr>
        <b/>
        <sz val="12"/>
        <color theme="1"/>
        <rFont val="Aptos Narrow"/>
        <family val="2"/>
        <scheme val="minor"/>
      </rPr>
      <t>exclusion</t>
    </r>
    <r>
      <rPr>
        <sz val="12"/>
        <color theme="1"/>
        <rFont val="Aptos Narrow"/>
        <family val="2"/>
        <scheme val="minor"/>
      </rPr>
      <t xml:space="preserve"> for this Pastor, whose residence is located at the above address.</t>
    </r>
  </si>
  <si>
    <r>
      <t>Reimbursed Business Expenses (Non-Taxable)</t>
    </r>
    <r>
      <rPr>
        <sz val="11"/>
        <color indexed="8"/>
        <rFont val="Aptos Narrow"/>
        <family val="2"/>
        <scheme val="minor"/>
      </rPr>
      <t xml:space="preserve"> - </t>
    </r>
    <r>
      <rPr>
        <sz val="11"/>
        <rFont val="Aptos Narrow"/>
        <family val="2"/>
        <scheme val="minor"/>
      </rPr>
      <t>Operating expenses of the church, not salary.</t>
    </r>
    <r>
      <rPr>
        <b/>
        <sz val="11"/>
        <color theme="1"/>
        <rFont val="Aptos Narrow"/>
        <family val="2"/>
        <scheme val="minor"/>
      </rPr>
      <t xml:space="preserve"> </t>
    </r>
    <r>
      <rPr>
        <sz val="11"/>
        <color theme="1"/>
        <rFont val="Aptos Narrow"/>
        <family val="2"/>
        <scheme val="minor"/>
      </rPr>
      <t>Full time pastors receive minimum $2,500</t>
    </r>
    <r>
      <rPr>
        <b/>
        <sz val="11"/>
        <color theme="1"/>
        <rFont val="Aptos Narrow"/>
        <family val="2"/>
        <scheme val="minor"/>
      </rPr>
      <t>.</t>
    </r>
  </si>
  <si>
    <r>
      <rPr>
        <b/>
        <sz val="11"/>
        <color theme="1"/>
        <rFont val="Aptos Narrow"/>
        <family val="2"/>
        <scheme val="minor"/>
      </rPr>
      <t>Total Benefit Costs</t>
    </r>
    <r>
      <rPr>
        <sz val="10.5"/>
        <color theme="1"/>
        <rFont val="Aptos Narrow"/>
        <family val="2"/>
        <scheme val="minor"/>
      </rPr>
      <t xml:space="preserve"> (Total of lines 16-23, Excluding line 17)</t>
    </r>
  </si>
  <si>
    <r>
      <rPr>
        <b/>
        <sz val="11"/>
        <color theme="1"/>
        <rFont val="Aptos Narrow"/>
        <family val="2"/>
        <scheme val="minor"/>
      </rPr>
      <t xml:space="preserve">Parsonage value for pension purposes
</t>
    </r>
    <r>
      <rPr>
        <sz val="10.5"/>
        <rFont val="Aptos Narrow"/>
        <family val="2"/>
        <scheme val="minor"/>
      </rPr>
      <t>If a parsonage is provided, line 14 has an X.
(Multiply the total provided cash salary in line 14 by 35%; this value cannot be lower than $10,000)</t>
    </r>
  </si>
  <si>
    <t>TOTAL CASH           SALARY                               Line 1</t>
  </si>
  <si>
    <r>
      <rPr>
        <b/>
        <sz val="11"/>
        <color rgb="FFFF0000"/>
        <rFont val="Aptos Narrow"/>
        <family val="2"/>
        <scheme val="minor"/>
      </rPr>
      <t xml:space="preserve">Flexible Spending Account (FSA): </t>
    </r>
    <r>
      <rPr>
        <b/>
        <sz val="11"/>
        <color theme="1"/>
        <rFont val="Aptos Narrow"/>
        <family val="2"/>
        <scheme val="minor"/>
      </rPr>
      <t xml:space="preserve"> Contributions to a FSA can be done through HealthFlex Exchange or the church's payroll company (See instructions for more information). Contributions are not the church's responsibility. Churches should deduct this amount from the pastor's salary. Regardless of selecting FSA through the HealthFlex Exchange or through the church’s payroll company, please report the amount on this line.  </t>
    </r>
  </si>
  <si>
    <t>AL - Administrative Location</t>
  </si>
  <si>
    <t>BH - Bishop</t>
  </si>
  <si>
    <t>DC - Deaconess</t>
  </si>
  <si>
    <t>DR - Retired Diaconal Minister</t>
  </si>
  <si>
    <t>FD - Deacon in full connection</t>
  </si>
  <si>
    <t>FE - Elder in full connection</t>
  </si>
  <si>
    <t>FL - Full time Local Pastor</t>
  </si>
  <si>
    <t>FLR - Full time Local Pastor Retired</t>
  </si>
  <si>
    <t>HL - Honorable Location</t>
  </si>
  <si>
    <t>HR - Honorable Location Retired</t>
  </si>
  <si>
    <t>HM - Home Missioner</t>
  </si>
  <si>
    <t>OA - Associate Member of other Annual Conference</t>
  </si>
  <si>
    <t>OD - Deacon member of other Annual Conference</t>
  </si>
  <si>
    <t>OFD - Full Connection Deacon of other Annual Conference</t>
  </si>
  <si>
    <t>OPD - Provisional Deacon of other Annual Conference</t>
  </si>
  <si>
    <t>OPE - Provisional Elder of other Annual Conference</t>
  </si>
  <si>
    <t>OFE - Full Connection Elder of other Annual Conference</t>
  </si>
  <si>
    <t>OE - Elder member of other Annual Conference</t>
  </si>
  <si>
    <t>OF - Full Member of other denomination</t>
  </si>
  <si>
    <t>OL - Local Pastors on Loan</t>
  </si>
  <si>
    <t>OM - Other Methodist Denominations</t>
  </si>
  <si>
    <t>OMR - Retired Other Methodist Denominations</t>
  </si>
  <si>
    <t>OP - Provisional member of other Annual Conference</t>
  </si>
  <si>
    <t>OR - Retired member of other Annual Conference</t>
  </si>
  <si>
    <t>ORE - Retired Elder of other Annual Conference</t>
  </si>
  <si>
    <t>ORD - Retired Deacon of other Annual Conference</t>
  </si>
  <si>
    <t>PL - Part time Local Pastor</t>
  </si>
  <si>
    <t>PLR - Part time Local Pastor Retired</t>
  </si>
  <si>
    <t>RD - Retired Deacon in Full connection</t>
  </si>
  <si>
    <t>RDC - Retired Deaconess</t>
  </si>
  <si>
    <t>RE - Retired Full Elder</t>
  </si>
  <si>
    <t>RHM - Retired Home Missioner</t>
  </si>
  <si>
    <t>SL - Student Local Pastor</t>
  </si>
  <si>
    <t>SY - Other Supplies</t>
  </si>
  <si>
    <r>
      <t xml:space="preserve">A. If you are serving 3/4 or 1/2 time as a SL or PL, enter </t>
    </r>
    <r>
      <rPr>
        <b/>
        <sz val="11"/>
        <rFont val="Aptos Narrow"/>
        <family val="2"/>
        <scheme val="minor"/>
      </rPr>
      <t>X</t>
    </r>
    <r>
      <rPr>
        <b/>
        <sz val="11"/>
        <color theme="1"/>
        <rFont val="Aptos Narrow"/>
        <family val="2"/>
        <scheme val="minor"/>
      </rPr>
      <t xml:space="preserve"> here</t>
    </r>
  </si>
  <si>
    <r>
      <rPr>
        <b/>
        <sz val="11"/>
        <color theme="1"/>
        <rFont val="Aptos Narrow"/>
        <family val="2"/>
        <scheme val="minor"/>
      </rPr>
      <t>Total Salary</t>
    </r>
    <r>
      <rPr>
        <sz val="11"/>
        <color theme="1"/>
        <rFont val="Aptos Narrow"/>
        <family val="2"/>
        <scheme val="minor"/>
      </rPr>
      <t xml:space="preserve"> </t>
    </r>
    <r>
      <rPr>
        <sz val="10"/>
        <color theme="1"/>
        <rFont val="Aptos Narrow"/>
        <family val="2"/>
        <scheme val="minor"/>
      </rPr>
      <t xml:space="preserve">(Total of lines 1-3) </t>
    </r>
  </si>
  <si>
    <r>
      <rPr>
        <b/>
        <sz val="11"/>
        <color theme="1"/>
        <rFont val="Aptos Narrow"/>
        <family val="2"/>
        <scheme val="minor"/>
      </rPr>
      <t xml:space="preserve">Pension Plan Compensation
</t>
    </r>
    <r>
      <rPr>
        <sz val="10.5"/>
        <rFont val="Aptos Narrow"/>
        <family val="2"/>
        <scheme val="minor"/>
      </rPr>
      <t>If a parsonage is provided, this equals line 1 plus 15.
If a parsonage is not provided, this equals line 13.</t>
    </r>
  </si>
  <si>
    <t>Eastern Pennsylvania</t>
  </si>
  <si>
    <t>Equitable Compensation Grant</t>
  </si>
  <si>
    <t>EPAAC Equitable Compensation Grant</t>
  </si>
  <si>
    <t>EPAAC Salary Supplement Grant</t>
  </si>
  <si>
    <r>
      <rPr>
        <b/>
        <u/>
        <sz val="12"/>
        <color theme="1"/>
        <rFont val="Aptos Narrow"/>
        <family val="2"/>
        <scheme val="minor"/>
      </rPr>
      <t>Signatures</t>
    </r>
    <r>
      <rPr>
        <b/>
        <sz val="12"/>
        <color theme="1"/>
        <rFont val="Aptos Narrow"/>
        <family val="2"/>
        <scheme val="minor"/>
      </rPr>
      <t>:</t>
    </r>
    <r>
      <rPr>
        <sz val="12"/>
        <color theme="1"/>
        <rFont val="Aptos Narrow"/>
        <family val="2"/>
        <scheme val="minor"/>
      </rPr>
      <t xml:space="preserve"> The undersigned parties state that the information shown on this report is true and correct. This report does not constitute an employment agreement and/or benefit plan between the Eastern Pennsylvania Annual Conference and the clergy identified herein, but is only a report of the clergy's compensation and benefits paid by the clergy's charge or employing unit to or for the benefit of the clergy.</t>
    </r>
  </si>
  <si>
    <t>WHEREAS, it is the policy of the Eastern Pennsylvania Conference of The United Methodist Church that Administrative Boards/Councils and Church Conferences annually designate in an official resolution a portion of the clergyperson’s compensation as housing allowance; and whereas, Section 107 of the Internal Revenue Code provides that the rental value of a home furnished to or by a minister of the gospel, or the amount of a cash housing or rental allowance paid to the minister is not included in his or her gross income reporting for income tax purposes.</t>
  </si>
  <si>
    <t>Provisional Deacons and Elders under full-time post-seminary appointments</t>
  </si>
  <si>
    <t>Associate Members</t>
  </si>
  <si>
    <t>Composite Rate</t>
  </si>
  <si>
    <t>Total Reimbursed Business Expenses</t>
  </si>
  <si>
    <t>Ackermanville</t>
  </si>
  <si>
    <t>Akron: Mt. Zion</t>
  </si>
  <si>
    <t>Allentown: Asbury</t>
  </si>
  <si>
    <t>Allentown: Casa del Rey</t>
  </si>
  <si>
    <t>Allentown: Emmanuel</t>
  </si>
  <si>
    <t>Ambler: Calvary</t>
  </si>
  <si>
    <t>Analomink</t>
  </si>
  <si>
    <t>Annville</t>
  </si>
  <si>
    <t>Annville: Kauffman's</t>
  </si>
  <si>
    <t>Arch UMC</t>
  </si>
  <si>
    <t>Ardmore</t>
  </si>
  <si>
    <t>Aristes: Zion</t>
  </si>
  <si>
    <t>Ash Grove</t>
  </si>
  <si>
    <t>Audenried-Jeanesville</t>
  </si>
  <si>
    <t>Bangor: First</t>
  </si>
  <si>
    <t>Barnesville: Bethany</t>
  </si>
  <si>
    <t>Belfast: Wesley</t>
  </si>
  <si>
    <t>Bellegrove</t>
  </si>
  <si>
    <t>Bensalem</t>
  </si>
  <si>
    <t>Bensalem: Korean</t>
  </si>
  <si>
    <t>Berne: Salem-Berne</t>
  </si>
  <si>
    <t>Berwyn</t>
  </si>
  <si>
    <t>Bethel</t>
  </si>
  <si>
    <t>Bethel Hill</t>
  </si>
  <si>
    <t>Bethesda</t>
  </si>
  <si>
    <t>Bethlehem: Epworth</t>
  </si>
  <si>
    <t>Bethlehem: Fritz</t>
  </si>
  <si>
    <t>Bethlehem: Korean</t>
  </si>
  <si>
    <t>Bethlehem: Wesley</t>
  </si>
  <si>
    <t>Bird-in-Hand</t>
  </si>
  <si>
    <t>Birdsboro: Christ</t>
  </si>
  <si>
    <t>Black Creek</t>
  </si>
  <si>
    <t>Blakeslee</t>
  </si>
  <si>
    <t>Booth's Corner: Siloam</t>
  </si>
  <si>
    <t>Bowmanstown: Faith Alive</t>
  </si>
  <si>
    <t>Bristol: First</t>
  </si>
  <si>
    <t>Bristol: Harriman</t>
  </si>
  <si>
    <t>Broomall: Christ</t>
  </si>
  <si>
    <t>Broomall: St. Mark's</t>
  </si>
  <si>
    <t>Brunnerville</t>
  </si>
  <si>
    <t>Bryn Mawr: St. Luke</t>
  </si>
  <si>
    <t>Bushkill</t>
  </si>
  <si>
    <t>Campbelltown</t>
  </si>
  <si>
    <t>Canadensis</t>
  </si>
  <si>
    <t>Cedarville</t>
  </si>
  <si>
    <t>Chalfont</t>
  </si>
  <si>
    <t>Chapman Quarries</t>
  </si>
  <si>
    <t>Charlestown</t>
  </si>
  <si>
    <t>Chatham</t>
  </si>
  <si>
    <t>Cherry Lane</t>
  </si>
  <si>
    <t>Cherry Valley</t>
  </si>
  <si>
    <t>Chester: Grace Community</t>
  </si>
  <si>
    <t>Chester: St. Daniel's</t>
  </si>
  <si>
    <t>Christiana</t>
  </si>
  <si>
    <t>Churchtown</t>
  </si>
  <si>
    <t>Clark's Grove</t>
  </si>
  <si>
    <t>Cleona: Immanuel</t>
  </si>
  <si>
    <t>Clifton Heights</t>
  </si>
  <si>
    <t>Coaldale</t>
  </si>
  <si>
    <t>Coatesville: Olivet</t>
  </si>
  <si>
    <t>Cochranville</t>
  </si>
  <si>
    <t>Colemanville</t>
  </si>
  <si>
    <t>Columbia</t>
  </si>
  <si>
    <t>Conestoga</t>
  </si>
  <si>
    <t>Conshohocken</t>
  </si>
  <si>
    <t>Conyngham</t>
  </si>
  <si>
    <t>Cornwall</t>
  </si>
  <si>
    <t>Cornwells Heights: Cornwells</t>
  </si>
  <si>
    <t>Coventryville</t>
  </si>
  <si>
    <t>Crescentville UMC</t>
  </si>
  <si>
    <t>Croydon: Wilkinson Memorial</t>
  </si>
  <si>
    <t>Cumbola</t>
  </si>
  <si>
    <t>Danielsville: Salem</t>
  </si>
  <si>
    <t>Darby: Mt. Zion</t>
  </si>
  <si>
    <t>Darby: Union Memorial</t>
  </si>
  <si>
    <t>Denver: Trinity</t>
  </si>
  <si>
    <t>Donaldson</t>
  </si>
  <si>
    <t>Douglassville: Hope</t>
  </si>
  <si>
    <t>Downingtown</t>
  </si>
  <si>
    <t>Doylestown</t>
  </si>
  <si>
    <t>Drehersville: Salem</t>
  </si>
  <si>
    <t>Drexel Hill United Methodist Church</t>
  </si>
  <si>
    <t>Drexel Hill: New Life</t>
  </si>
  <si>
    <t>Drums: St. Paul's</t>
  </si>
  <si>
    <t>East Bangor</t>
  </si>
  <si>
    <t>East Stroudsburg</t>
  </si>
  <si>
    <t>Easton: Christ</t>
  </si>
  <si>
    <t>Easton: Green Pond</t>
  </si>
  <si>
    <t>Eddystone</t>
  </si>
  <si>
    <t>Effort</t>
  </si>
  <si>
    <t>Elam</t>
  </si>
  <si>
    <t>Elizabethtown: St. Paul's</t>
  </si>
  <si>
    <t>Elverson</t>
  </si>
  <si>
    <t>Elysburg</t>
  </si>
  <si>
    <t>Emerald: St. Peter's</t>
  </si>
  <si>
    <t>Ephrata: First</t>
  </si>
  <si>
    <t>Ephrata: Hope</t>
  </si>
  <si>
    <t>Evansburg</t>
  </si>
  <si>
    <t>Exton</t>
  </si>
  <si>
    <t>Fairless Hills: Christ</t>
  </si>
  <si>
    <t>Fairless Hills: First</t>
  </si>
  <si>
    <t>Faith Community</t>
  </si>
  <si>
    <t>Fallsington</t>
  </si>
  <si>
    <t>Falmouth Ludwig</t>
  </si>
  <si>
    <t>Fleetwood: Emmanuel</t>
  </si>
  <si>
    <t>Frackville: First</t>
  </si>
  <si>
    <t>Fredericksburg</t>
  </si>
  <si>
    <t>Friendship</t>
  </si>
  <si>
    <t>Geigertown: St. Paul's</t>
  </si>
  <si>
    <t>Georgetown</t>
  </si>
  <si>
    <t>Gilberton</t>
  </si>
  <si>
    <t>Girardville</t>
  </si>
  <si>
    <t>Glen Moore</t>
  </si>
  <si>
    <t>Glenside: Lighthouse Fellowship</t>
  </si>
  <si>
    <t>Glenside: Lighthouse Korean</t>
  </si>
  <si>
    <t>Goodwill</t>
  </si>
  <si>
    <t>Gordon: Simpson</t>
  </si>
  <si>
    <t>Green Hill</t>
  </si>
  <si>
    <t>Grove</t>
  </si>
  <si>
    <t>Hamorton</t>
  </si>
  <si>
    <t>Harmony</t>
  </si>
  <si>
    <t>Hatboro: Lehman Memorial</t>
  </si>
  <si>
    <t>Havertown</t>
  </si>
  <si>
    <t>Hellertown: St. Paul</t>
  </si>
  <si>
    <t>Hempfield</t>
  </si>
  <si>
    <t>Hibernia</t>
  </si>
  <si>
    <t>Highville</t>
  </si>
  <si>
    <t>Honey Brook</t>
  </si>
  <si>
    <t>Hopeland</t>
  </si>
  <si>
    <t>Hopewell</t>
  </si>
  <si>
    <t>Hulmeville: Neshamony</t>
  </si>
  <si>
    <t>Huntingdon Valley</t>
  </si>
  <si>
    <t>Indiantown Gap: Emmanuel</t>
  </si>
  <si>
    <t>Intercourse</t>
  </si>
  <si>
    <t>Iona: Zion</t>
  </si>
  <si>
    <t>Irish Valley</t>
  </si>
  <si>
    <t>Ironville</t>
  </si>
  <si>
    <t>Ivyland: St. John's</t>
  </si>
  <si>
    <t>Jarrettown UMC</t>
  </si>
  <si>
    <t>Jenkintown United Methodist Church</t>
  </si>
  <si>
    <t>Joliett: First</t>
  </si>
  <si>
    <t>Jonestown</t>
  </si>
  <si>
    <t>Kemblesville</t>
  </si>
  <si>
    <t>Kleinfeltersville: Trinity</t>
  </si>
  <si>
    <t>Kulpmont</t>
  </si>
  <si>
    <t>Lafayette Hill: Messiah</t>
  </si>
  <si>
    <t>Lahaska</t>
  </si>
  <si>
    <t>Lampeter</t>
  </si>
  <si>
    <t>Lancaster: Christ</t>
  </si>
  <si>
    <t>Lancaster: Community</t>
  </si>
  <si>
    <t>Lancaster: Covenant</t>
  </si>
  <si>
    <t>Lancaster: First</t>
  </si>
  <si>
    <t>Lancaster: Nueva Creacion</t>
  </si>
  <si>
    <t>Lancaster: Otterbein</t>
  </si>
  <si>
    <t>Lancaster: Pearl Street</t>
  </si>
  <si>
    <t>Lancaster: Ross Street</t>
  </si>
  <si>
    <t>Landenberg</t>
  </si>
  <si>
    <t>Landingville: Welcome</t>
  </si>
  <si>
    <t>Langhorne</t>
  </si>
  <si>
    <t>Lansdale: Christ</t>
  </si>
  <si>
    <t>Lansdale: First</t>
  </si>
  <si>
    <t>Lansdowne: Trinity Lansdowne</t>
  </si>
  <si>
    <t>Lattimer</t>
  </si>
  <si>
    <t>Lebanon: Bethany</t>
  </si>
  <si>
    <t>Lebanon: Church of the Good Shepherd</t>
  </si>
  <si>
    <t>Lebanon: Covenant</t>
  </si>
  <si>
    <t>Lebanon: Ebenezer</t>
  </si>
  <si>
    <t>Lebanon: Hebron</t>
  </si>
  <si>
    <t>Lebanon: Kochenderfer</t>
  </si>
  <si>
    <t>Lebanon: Mountville</t>
  </si>
  <si>
    <t>Lebanon: St. John's</t>
  </si>
  <si>
    <t>Lebanon: St. Luke's</t>
  </si>
  <si>
    <t>Lebanon: Trinity</t>
  </si>
  <si>
    <t>Leola</t>
  </si>
  <si>
    <t>Levittown: Emilie</t>
  </si>
  <si>
    <t>Lewistown Valley: Calvary Evangelical</t>
  </si>
  <si>
    <t>Lickdale: Trinity</t>
  </si>
  <si>
    <t>Lima</t>
  </si>
  <si>
    <t>Lincoln Park: Community</t>
  </si>
  <si>
    <t>Linwood Heights</t>
  </si>
  <si>
    <t>Lititz United Methodist Church</t>
  </si>
  <si>
    <t>Llewellyn</t>
  </si>
  <si>
    <t>Mahanoy City: First</t>
  </si>
  <si>
    <t>Manheim Township: Faith</t>
  </si>
  <si>
    <t>Manheim: Ruhl's</t>
  </si>
  <si>
    <t>Manheim: Salem</t>
  </si>
  <si>
    <t>Marcus Hook: Cokesbury</t>
  </si>
  <si>
    <t>Marshallton</t>
  </si>
  <si>
    <t>Marticville</t>
  </si>
  <si>
    <t>McMichaels</t>
  </si>
  <si>
    <t>Media: First</t>
  </si>
  <si>
    <t>Memorial Church of the Holy Cross United Methodist</t>
  </si>
  <si>
    <t>Middletown: Christ</t>
  </si>
  <si>
    <t>Millers Crossroads</t>
  </si>
  <si>
    <t>Millersville Community</t>
  </si>
  <si>
    <t>Milton Grove</t>
  </si>
  <si>
    <t>Mohnton: Calvary</t>
  </si>
  <si>
    <t>Mont Clare: Otterbein</t>
  </si>
  <si>
    <t>Montgomery Square</t>
  </si>
  <si>
    <t>Moore Twp.: Covenant</t>
  </si>
  <si>
    <t>Morrisville</t>
  </si>
  <si>
    <t>Mount Carmel: First</t>
  </si>
  <si>
    <t>Mount Gretna</t>
  </si>
  <si>
    <t>Mount Hope</t>
  </si>
  <si>
    <t>Mount Joy: Chiques</t>
  </si>
  <si>
    <t>Mount Joy: Glossbrenner</t>
  </si>
  <si>
    <t>Mount Joy: St. Mark's</t>
  </si>
  <si>
    <t>Mount Nebo</t>
  </si>
  <si>
    <t>Mountainhome</t>
  </si>
  <si>
    <t>Mountville: St. Paul's</t>
  </si>
  <si>
    <t>Mt. Pocono</t>
  </si>
  <si>
    <t>Myerstown: Zion</t>
  </si>
  <si>
    <t>Nantmeal</t>
  </si>
  <si>
    <t>Narvon: Mt. Zion</t>
  </si>
  <si>
    <t>Neffsville: Long Memorial</t>
  </si>
  <si>
    <t>Neola</t>
  </si>
  <si>
    <t>Nesquehoning: Meed's Memorial</t>
  </si>
  <si>
    <t>New Berlinville: St. Andrew</t>
  </si>
  <si>
    <t>New Holland: Friendship</t>
  </si>
  <si>
    <t>New Holland: Ranck's</t>
  </si>
  <si>
    <t>New London</t>
  </si>
  <si>
    <t>New Ringgold: Zion</t>
  </si>
  <si>
    <t>Newtown</t>
  </si>
  <si>
    <t>Norristown: Haws Avenue</t>
  </si>
  <si>
    <t>North Wales: Christ UMC</t>
  </si>
  <si>
    <t>North Wales: Sanctuary</t>
  </si>
  <si>
    <t>NorthStar</t>
  </si>
  <si>
    <t>Norwood</t>
  </si>
  <si>
    <t>Nuremberg: Bethany</t>
  </si>
  <si>
    <t>Oak Grove</t>
  </si>
  <si>
    <t>Ono</t>
  </si>
  <si>
    <t>Oregon</t>
  </si>
  <si>
    <t>Orwigsburg: Salem</t>
  </si>
  <si>
    <t>Oxford</t>
  </si>
  <si>
    <t>Palmerton: Salem</t>
  </si>
  <si>
    <t>Palmyra: Bethany</t>
  </si>
  <si>
    <t>Palmyra: First</t>
  </si>
  <si>
    <t>Palmyra: Gravel Hill</t>
  </si>
  <si>
    <t>Paoli</t>
  </si>
  <si>
    <t>Paradise Valley: Keokee Chapel</t>
  </si>
  <si>
    <t>Paradise: St. John's</t>
  </si>
  <si>
    <t>Parkesburg</t>
  </si>
  <si>
    <t>Peach Bottom: Mt. Zion</t>
  </si>
  <si>
    <t>Pen Argyl: Grace</t>
  </si>
  <si>
    <t>Penns Park</t>
  </si>
  <si>
    <t>Phila.: Berry-Long Memorial</t>
  </si>
  <si>
    <t>Phila.: Bethesda</t>
  </si>
  <si>
    <t>Phila.: Bickley's New Beginning</t>
  </si>
  <si>
    <t>Phila.: Bridesburg</t>
  </si>
  <si>
    <t>Phila.: Camphor Memorial</t>
  </si>
  <si>
    <t>Phila.: Chestnut Hill</t>
  </si>
  <si>
    <t>Phila.: Church Good Shepherd</t>
  </si>
  <si>
    <t>Phila.: Church of The Redeemer</t>
  </si>
  <si>
    <t>Phila.: Clearview</t>
  </si>
  <si>
    <t>Phila.: Devereux Memorial</t>
  </si>
  <si>
    <t>Phila.: Eastwick</t>
  </si>
  <si>
    <t>Phila.: El Mesias</t>
  </si>
  <si>
    <t>Phila.: Emmanuel</t>
  </si>
  <si>
    <t>Phila.: Espiritu Santo</t>
  </si>
  <si>
    <t>Phila.: Fox Chase</t>
  </si>
  <si>
    <t>Phila.: Germantown, First</t>
  </si>
  <si>
    <t>Phila.: Grace</t>
  </si>
  <si>
    <t>Phila.: Green Lane</t>
  </si>
  <si>
    <t>Phila.: Haven Peniel</t>
  </si>
  <si>
    <t>Phila.: Holmesburg</t>
  </si>
  <si>
    <t>Phila.: Janes Memorial</t>
  </si>
  <si>
    <t>Phila.: Johnson Memorial</t>
  </si>
  <si>
    <t>Phila.: Mid-Town Parish</t>
  </si>
  <si>
    <t>Phila.: Mother African Zoar</t>
  </si>
  <si>
    <t>Phila.: Mount Zion</t>
  </si>
  <si>
    <t>Phila.: Roxborough, Ridge Avenue</t>
  </si>
  <si>
    <t>Phila.: Sayers Memorial</t>
  </si>
  <si>
    <t>Phila.: Simpson-Fletcher</t>
  </si>
  <si>
    <t>Phila.: Somerton</t>
  </si>
  <si>
    <t>Phila.: St. George's</t>
  </si>
  <si>
    <t>Phila.: St. Philip's</t>
  </si>
  <si>
    <t>Phila.: Summerfield/Siloam</t>
  </si>
  <si>
    <t>Phila.: Tindley Temple</t>
  </si>
  <si>
    <t>Phila.: Univer. City, Calvary</t>
  </si>
  <si>
    <t>Phila.: Wharton-Wesley</t>
  </si>
  <si>
    <t>Phila.: Wissinoming</t>
  </si>
  <si>
    <t>Phoenixville: First</t>
  </si>
  <si>
    <t>Pine Grove: St. Paul</t>
  </si>
  <si>
    <t>Pipersville: Rolling Hills</t>
  </si>
  <si>
    <t>Pleasant Grove</t>
  </si>
  <si>
    <t>Pocono Lake</t>
  </si>
  <si>
    <t>Poplar Valley United Methodist Church</t>
  </si>
  <si>
    <t>Port Carbon: Grace</t>
  </si>
  <si>
    <t>Pottsville: First</t>
  </si>
  <si>
    <t>Prospect Park: Prospect</t>
  </si>
  <si>
    <t>Prospectville: First Korean of Phila</t>
  </si>
  <si>
    <t>Quakake: Ebenezer</t>
  </si>
  <si>
    <t>Quakertown</t>
  </si>
  <si>
    <t>Quarryville: Memorial</t>
  </si>
  <si>
    <t>Rawlinsville</t>
  </si>
  <si>
    <t>Reading: Grace</t>
  </si>
  <si>
    <t>Reading: St. Matthews</t>
  </si>
  <si>
    <t>Reeders</t>
  </si>
  <si>
    <t>Richmond</t>
  </si>
  <si>
    <t>Ridley Park</t>
  </si>
  <si>
    <t>Ringtown: Aurand Memorial</t>
  </si>
  <si>
    <t>Rocherty</t>
  </si>
  <si>
    <t>Romansville</t>
  </si>
  <si>
    <t>Royersford</t>
  </si>
  <si>
    <t>Safe Harbor</t>
  </si>
  <si>
    <t>Saint Clair-Wade</t>
  </si>
  <si>
    <t>Samuel</t>
  </si>
  <si>
    <t>Saylorsburg: St. Peter's</t>
  </si>
  <si>
    <t>Schaefferstown: Zion</t>
  </si>
  <si>
    <t>Schoeneck: Wiest</t>
  </si>
  <si>
    <t>Schuylkill Haven: Covenant</t>
  </si>
  <si>
    <t>Schuylkill Haven: First</t>
  </si>
  <si>
    <t>Scottsville</t>
  </si>
  <si>
    <t>Shamokin: Emmanuel</t>
  </si>
  <si>
    <t>Shamokin: First</t>
  </si>
  <si>
    <t>Shamokin: St. John's</t>
  </si>
  <si>
    <t>Shoemakersville: Salem</t>
  </si>
  <si>
    <t>Solebury</t>
  </si>
  <si>
    <t>Springfield: Covenant</t>
  </si>
  <si>
    <t>Springtown: Salem</t>
  </si>
  <si>
    <t>St. Peter's: Mount Carmel</t>
  </si>
  <si>
    <t>Stehman Memorial</t>
  </si>
  <si>
    <t>Strasburg: Wesley</t>
  </si>
  <si>
    <t>Stroudsburg</t>
  </si>
  <si>
    <t>Stroudsburg: Faith</t>
  </si>
  <si>
    <t>Summit Hill</t>
  </si>
  <si>
    <t>Swarthmore</t>
  </si>
  <si>
    <t>Tamaqua: First</t>
  </si>
  <si>
    <t>Telford: Grace</t>
  </si>
  <si>
    <t>Temple</t>
  </si>
  <si>
    <t>Terre Hill: St. Paul's</t>
  </si>
  <si>
    <t>The Bridge</t>
  </si>
  <si>
    <t>Thorndale</t>
  </si>
  <si>
    <t>Thornton: Bethlehem</t>
  </si>
  <si>
    <t>Tobyhanna</t>
  </si>
  <si>
    <t>Trainer Trinity</t>
  </si>
  <si>
    <t>Tremont: St. John's</t>
  </si>
  <si>
    <t>Trevorton</t>
  </si>
  <si>
    <t>Trevose: St. Matthew</t>
  </si>
  <si>
    <t>Valley Forge</t>
  </si>
  <si>
    <t>Valley Forge: St. Matthew's</t>
  </si>
  <si>
    <t>Warminster: St. Andrews</t>
  </si>
  <si>
    <t>Warrington: St. Paul's</t>
  </si>
  <si>
    <t>Washington Boro</t>
  </si>
  <si>
    <t>Washington Crossing</t>
  </si>
  <si>
    <t>Wayne</t>
  </si>
  <si>
    <t>Weatherly: Centenary</t>
  </si>
  <si>
    <t>Wescosville: Bethany</t>
  </si>
  <si>
    <t>West Chester</t>
  </si>
  <si>
    <t>West Chester: El Buen Samaritano</t>
  </si>
  <si>
    <t>West Grove</t>
  </si>
  <si>
    <t>West Grove: Cristo Rey</t>
  </si>
  <si>
    <t>West Lawn</t>
  </si>
  <si>
    <t>West Willow</t>
  </si>
  <si>
    <t>White Haven</t>
  </si>
  <si>
    <t>Willistown</t>
  </si>
  <si>
    <t>Willow Grove</t>
  </si>
  <si>
    <t>Willow Street: Boehm's</t>
  </si>
  <si>
    <t>Wooddale</t>
  </si>
  <si>
    <t>Woxall: Tabor</t>
  </si>
  <si>
    <t>Yardley</t>
  </si>
  <si>
    <t>Zionsville: Salem</t>
  </si>
  <si>
    <t>GCNO</t>
  </si>
  <si>
    <t>North</t>
  </si>
  <si>
    <t>West</t>
  </si>
  <si>
    <t>East</t>
  </si>
  <si>
    <t>South</t>
  </si>
  <si>
    <r>
      <rPr>
        <b/>
        <sz val="11"/>
        <color rgb="FFFF0000"/>
        <rFont val="Aptos Narrow"/>
        <family val="2"/>
        <scheme val="minor"/>
      </rPr>
      <t>Minimum Salary:</t>
    </r>
    <r>
      <rPr>
        <b/>
        <sz val="11"/>
        <color theme="1"/>
        <rFont val="Aptos Narrow"/>
        <family val="2"/>
        <scheme val="minor"/>
      </rPr>
      <t xml:space="preserve"> Clergy in full connection $50,217;  Provisional Member $47,597, Associate Member $46,599,  Full Time Local Pastor $44,109;
(1% increase per year of full time service) - If unsure how to calculate, check the tab at the bottm named "Minimum Salary". </t>
    </r>
  </si>
  <si>
    <r>
      <rPr>
        <b/>
        <sz val="11"/>
        <color rgb="FFFF0000"/>
        <rFont val="Aptos Narrow"/>
        <family val="2"/>
        <scheme val="minor"/>
      </rPr>
      <t>Health Insurance:</t>
    </r>
    <r>
      <rPr>
        <b/>
        <sz val="11"/>
        <color theme="1"/>
        <rFont val="Aptos Narrow"/>
        <family val="2"/>
        <scheme val="minor"/>
      </rPr>
      <t xml:space="preserve">  Churches will be billed directly for their pastor's health insurance premium responsibility. This is separate from the church's composite rate. Churches should deduct this amount from the pastor's salary. Doesn't change the church's composite rate. </t>
    </r>
  </si>
  <si>
    <t>B. If your conference relationship is DM  DR  OR  RA  RD  RE  RL  RO  RP  SY  LM  CP, or you are part-time and have waived pension and submittted your enrollment form enter X here enter X here</t>
  </si>
  <si>
    <t>For dropdown sections, click on the cell and a dropdown arrow will appear to the right of the cell.</t>
  </si>
  <si>
    <t>Clergy with multiple appointments MUST enter all appointment salary information into a single Compensation Report form.</t>
  </si>
  <si>
    <t>CSM - Christ Servant Minister</t>
  </si>
  <si>
    <r>
      <t xml:space="preserve">Benefits (Non-Taxable) </t>
    </r>
    <r>
      <rPr>
        <sz val="11"/>
        <color theme="1"/>
        <rFont val="Aptos Narrow"/>
        <family val="2"/>
        <scheme val="minor"/>
      </rPr>
      <t>-</t>
    </r>
    <r>
      <rPr>
        <b/>
        <sz val="11"/>
        <color theme="1"/>
        <rFont val="Aptos Narrow"/>
        <family val="2"/>
        <scheme val="minor"/>
      </rPr>
      <t xml:space="preserve"> </t>
    </r>
    <r>
      <rPr>
        <sz val="11"/>
        <color theme="1"/>
        <rFont val="Aptos Narrow"/>
        <family val="2"/>
        <scheme val="minor"/>
      </rPr>
      <t xml:space="preserve">Adding an X under the appropriate box below autopopulates the benefits these specific conference relationships and appointment statuses are eligible to receive. An X is not required for all conference relationships. Only one box should be checked.                            </t>
    </r>
  </si>
  <si>
    <t>EPAAC Other Grant/Funding</t>
  </si>
  <si>
    <t>These deductions above will be elected during Open Enrollment and updated on the Remittance Form.</t>
  </si>
  <si>
    <r>
      <t xml:space="preserve">Mandatory Health Care
</t>
    </r>
    <r>
      <rPr>
        <sz val="10.5"/>
        <rFont val="Aptos Narrow"/>
        <family val="2"/>
        <scheme val="minor"/>
      </rPr>
      <t xml:space="preserve">This is life insurance, a stand alone Employee Assistance Plan and Virgin Pulse Plan. 
(Enter an $500 if full appointment status is Full Time or 3/4.)
</t>
    </r>
    <r>
      <rPr>
        <b/>
        <sz val="10.5"/>
        <rFont val="Aptos Narrow"/>
        <family val="2"/>
        <scheme val="minor"/>
      </rPr>
      <t>Amount will be</t>
    </r>
    <r>
      <rPr>
        <sz val="10.5"/>
        <rFont val="Aptos Narrow"/>
        <family val="2"/>
        <scheme val="minor"/>
      </rPr>
      <t xml:space="preserve"> </t>
    </r>
    <r>
      <rPr>
        <b/>
        <sz val="10.5"/>
        <rFont val="Aptos Narrow"/>
        <family val="2"/>
        <scheme val="minor"/>
      </rPr>
      <t>split proportional to the salary split.</t>
    </r>
  </si>
  <si>
    <r>
      <rPr>
        <b/>
        <sz val="11"/>
        <color theme="1"/>
        <rFont val="Aptos Narrow"/>
        <family val="2"/>
        <scheme val="minor"/>
      </rPr>
      <t xml:space="preserve">Health Insurance Premium for Conference Plan
</t>
    </r>
    <r>
      <rPr>
        <sz val="11"/>
        <color theme="1"/>
        <rFont val="Aptos Narrow"/>
        <family val="2"/>
        <scheme val="minor"/>
      </rPr>
      <t>If you are enrolled in the EPA Healflex Plan copy the figure supplied under "</t>
    </r>
    <r>
      <rPr>
        <b/>
        <sz val="11"/>
        <color theme="1"/>
        <rFont val="Aptos Narrow"/>
        <family val="2"/>
        <scheme val="minor"/>
      </rPr>
      <t>Composite Rate</t>
    </r>
    <r>
      <rPr>
        <sz val="11"/>
        <color theme="1"/>
        <rFont val="Aptos Narrow"/>
        <family val="2"/>
        <scheme val="minor"/>
      </rPr>
      <t>" at the top of the page. If you have a multiple church appointment, please divide each church rate by the # of churches and calculate the sum.  If you are not enrolled, please leave this blank.</t>
    </r>
  </si>
  <si>
    <r>
      <t xml:space="preserve">OPTIONAL: Grants Break-Out Section - </t>
    </r>
    <r>
      <rPr>
        <sz val="11"/>
        <color theme="1"/>
        <rFont val="Aptos Narrow"/>
        <family val="2"/>
        <scheme val="minor"/>
      </rPr>
      <t>You may enter individual grant amounts below, the values are subtracted from the Totals of line 29 to display salary impact of church budget.
This section is church informational only, and will not be used for conference Compensation form purposes.</t>
    </r>
  </si>
  <si>
    <r>
      <rPr>
        <b/>
        <sz val="11"/>
        <rFont val="Aptos Narrow"/>
        <family val="2"/>
        <scheme val="minor"/>
      </rPr>
      <t xml:space="preserve">Compass Retirement - Sponsor Matching Contribution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4.0%)</t>
    </r>
    <r>
      <rPr>
        <sz val="10.5"/>
        <color rgb="FFFF0000"/>
        <rFont val="Aptos Narrow"/>
        <family val="2"/>
        <scheme val="minor"/>
      </rPr>
      <t xml:space="preserve"> </t>
    </r>
  </si>
  <si>
    <r>
      <rPr>
        <b/>
        <sz val="11"/>
        <rFont val="Aptos Narrow"/>
        <family val="2"/>
        <scheme val="minor"/>
      </rPr>
      <t xml:space="preserve">Compass Retirement - Required Sponsor Contributions
</t>
    </r>
    <r>
      <rPr>
        <sz val="10.5"/>
        <rFont val="Aptos Narrow"/>
        <family val="2"/>
        <scheme val="minor"/>
      </rPr>
      <t>Compass is available for FT, 3/4, and 1/2 time clergy.
(Multiply</t>
    </r>
    <r>
      <rPr>
        <sz val="10.5"/>
        <color rgb="FFFF0000"/>
        <rFont val="Aptos Narrow"/>
        <family val="2"/>
        <scheme val="minor"/>
      </rPr>
      <t xml:space="preserve"> </t>
    </r>
    <r>
      <rPr>
        <sz val="10.5"/>
        <rFont val="Aptos Narrow"/>
        <family val="2"/>
        <scheme val="minor"/>
      </rPr>
      <t>line 17 by 3%)</t>
    </r>
    <r>
      <rPr>
        <sz val="10.5"/>
        <color rgb="FFFF0000"/>
        <rFont val="Aptos Narrow"/>
        <family val="2"/>
        <scheme val="minor"/>
      </rPr>
      <t xml:space="preserve"> </t>
    </r>
  </si>
  <si>
    <r>
      <rPr>
        <b/>
        <sz val="11"/>
        <color theme="1"/>
        <rFont val="Aptos Narrow"/>
        <family val="2"/>
        <scheme val="minor"/>
      </rPr>
      <t xml:space="preserve">Tax-deferred Compass Retirement Contribution
</t>
    </r>
    <r>
      <rPr>
        <sz val="10.5"/>
        <color theme="1"/>
        <rFont val="Aptos Narrow"/>
        <family val="2"/>
        <scheme val="minor"/>
      </rPr>
      <t>If new employer or election, Contribution Election Form must also be completed. Withheld from salary shown on line 4.
Report in W-2 Box 12, Code E</t>
    </r>
  </si>
  <si>
    <r>
      <rPr>
        <b/>
        <sz val="11"/>
        <color theme="1"/>
        <rFont val="Aptos Narrow"/>
        <family val="2"/>
        <scheme val="minor"/>
      </rPr>
      <t xml:space="preserve">Is a parsonage provided for clergy in ANY of the churches appointed to?
</t>
    </r>
    <r>
      <rPr>
        <sz val="10.5"/>
        <color theme="1"/>
        <rFont val="Aptos Narrow"/>
        <family val="2"/>
        <scheme val="minor"/>
      </rPr>
      <t xml:space="preserve">If </t>
    </r>
    <r>
      <rPr>
        <b/>
        <sz val="10.5"/>
        <rFont val="Aptos Narrow"/>
        <family val="2"/>
        <scheme val="minor"/>
      </rPr>
      <t>YES</t>
    </r>
    <r>
      <rPr>
        <sz val="10.5"/>
        <color theme="1"/>
        <rFont val="Aptos Narrow"/>
        <family val="2"/>
        <scheme val="minor"/>
      </rPr>
      <t xml:space="preserve"> - enter </t>
    </r>
    <r>
      <rPr>
        <b/>
        <sz val="10.5"/>
        <color theme="1"/>
        <rFont val="Aptos Narrow"/>
        <family val="2"/>
        <scheme val="minor"/>
      </rPr>
      <t>X</t>
    </r>
    <r>
      <rPr>
        <sz val="10.5"/>
        <color theme="1"/>
        <rFont val="Aptos Narrow"/>
        <family val="2"/>
        <scheme val="minor"/>
      </rPr>
      <t xml:space="preserve"> under the church providing a parsonage
If </t>
    </r>
    <r>
      <rPr>
        <b/>
        <sz val="10.5"/>
        <rFont val="Aptos Narrow"/>
        <family val="2"/>
        <scheme val="minor"/>
      </rPr>
      <t>NO</t>
    </r>
    <r>
      <rPr>
        <sz val="10.5"/>
        <color theme="1"/>
        <rFont val="Aptos Narrow"/>
        <family val="2"/>
        <scheme val="minor"/>
      </rPr>
      <t xml:space="preserve"> - leave this line blank. 
</t>
    </r>
    <r>
      <rPr>
        <b/>
        <sz val="10.5"/>
        <color theme="1"/>
        <rFont val="Aptos Narrow"/>
        <family val="2"/>
        <scheme val="minor"/>
      </rPr>
      <t xml:space="preserve">NOTE: </t>
    </r>
    <r>
      <rPr>
        <sz val="10.5"/>
        <color theme="1"/>
        <rFont val="Aptos Narrow"/>
        <family val="2"/>
        <scheme val="minor"/>
      </rPr>
      <t xml:space="preserve">In Compass Retirement, the Parsonage value </t>
    </r>
    <r>
      <rPr>
        <b/>
        <sz val="10.5"/>
        <color theme="1"/>
        <rFont val="Aptos Narrow"/>
        <family val="2"/>
        <scheme val="minor"/>
      </rPr>
      <t>MUST</t>
    </r>
    <r>
      <rPr>
        <sz val="10.5"/>
        <color theme="1"/>
        <rFont val="Aptos Narrow"/>
        <family val="2"/>
        <scheme val="minor"/>
      </rPr>
      <t xml:space="preserve"> be split to all churches, regardless of which one provides the parsonage.</t>
    </r>
    <r>
      <rPr>
        <b/>
        <sz val="10.5"/>
        <color theme="1"/>
        <rFont val="Aptos Narrow"/>
        <family val="2"/>
        <scheme val="minor"/>
      </rPr>
      <t xml:space="preserve"> The parsonage value split is proportional to the salary split.</t>
    </r>
  </si>
  <si>
    <r>
      <rPr>
        <b/>
        <sz val="11"/>
        <color theme="1"/>
        <rFont val="Aptos Narrow"/>
        <family val="2"/>
        <scheme val="minor"/>
      </rPr>
      <t xml:space="preserve">Tax-paid Compass Retirement Contribution
</t>
    </r>
    <r>
      <rPr>
        <sz val="10.5"/>
        <color theme="1"/>
        <rFont val="Aptos Narrow"/>
        <family val="2"/>
        <scheme val="minor"/>
      </rPr>
      <t xml:space="preserve">If new employer or election, Contribution Election Form must also be completed.
Withheld from salary shown on line 4.                                            
</t>
    </r>
  </si>
  <si>
    <r>
      <t xml:space="preserve">Clergy Salary Compensation </t>
    </r>
    <r>
      <rPr>
        <sz val="10"/>
        <color theme="1"/>
        <rFont val="Aptos Narrow"/>
        <family val="2"/>
        <scheme val="minor"/>
      </rPr>
      <t>(Total cash amount. Should also include</t>
    </r>
    <r>
      <rPr>
        <b/>
        <sz val="10"/>
        <color theme="1"/>
        <rFont val="Aptos Narrow"/>
        <family val="2"/>
        <scheme val="minor"/>
      </rPr>
      <t xml:space="preserve"> all grant funding</t>
    </r>
    <r>
      <rPr>
        <sz val="10"/>
        <color theme="1"/>
        <rFont val="Aptos Narrow"/>
        <family val="2"/>
        <scheme val="minor"/>
      </rPr>
      <t>.)</t>
    </r>
  </si>
  <si>
    <r>
      <rPr>
        <b/>
        <sz val="11"/>
        <color theme="1"/>
        <rFont val="Aptos Narrow"/>
        <family val="2"/>
        <scheme val="minor"/>
      </rPr>
      <t xml:space="preserve">Housing Exclusion
</t>
    </r>
    <r>
      <rPr>
        <sz val="10.5"/>
        <rFont val="Aptos Narrow"/>
        <family val="2"/>
        <scheme val="minor"/>
      </rPr>
      <t>Amount excluded from pastor's taxable income for costs directly related to providing a home. Clergy need to enter into a salary reduction agreement in order to shift salary to Housing Allowance. See instructions for more information/examples. 
Amount entered here will populate on the Housing Exclusion Resolution on page 3 of this report.
Report in W-2 Box 14</t>
    </r>
  </si>
  <si>
    <r>
      <t xml:space="preserve">Housing Allowance
</t>
    </r>
    <r>
      <rPr>
        <sz val="10.5"/>
        <color theme="1"/>
        <rFont val="Aptos Narrow"/>
        <family val="2"/>
        <scheme val="minor"/>
      </rPr>
      <t xml:space="preserve">Paid in addition to cash salary.  
</t>
    </r>
    <r>
      <rPr>
        <b/>
        <sz val="10.5"/>
        <color theme="1"/>
        <rFont val="Aptos Narrow"/>
        <family val="2"/>
        <scheme val="minor"/>
      </rPr>
      <t>Should only be used in lieu of a parsonage being provided.</t>
    </r>
  </si>
  <si>
    <t>Total of lines 13, 25, 26</t>
  </si>
  <si>
    <r>
      <rPr>
        <b/>
        <sz val="11"/>
        <color theme="1"/>
        <rFont val="Aptos Narrow"/>
        <family val="2"/>
        <scheme val="minor"/>
      </rPr>
      <t>Total Salary</t>
    </r>
    <r>
      <rPr>
        <sz val="10.5"/>
        <color theme="1"/>
        <rFont val="Aptos Narrow"/>
        <family val="2"/>
        <scheme val="minor"/>
      </rPr>
      <t xml:space="preserve"> (Total of lines 3, 8 and 1</t>
    </r>
    <r>
      <rPr>
        <sz val="10.5"/>
        <rFont val="Aptos Narrow"/>
        <family val="2"/>
        <scheme val="minor"/>
      </rPr>
      <t>2; must equal line 4)</t>
    </r>
  </si>
  <si>
    <r>
      <rPr>
        <b/>
        <sz val="11"/>
        <rFont val="Aptos Narrow"/>
        <family val="2"/>
        <scheme val="minor"/>
      </rPr>
      <t xml:space="preserve">Comprehensive Protection Plan (CPP)
</t>
    </r>
    <r>
      <rPr>
        <sz val="10.5"/>
        <rFont val="Aptos Narrow"/>
        <family val="2"/>
        <scheme val="minor"/>
      </rPr>
      <t xml:space="preserve">Only available for FT clergy. Not available for PL or SL.
(Multiply line 17 by 3%)   </t>
    </r>
    <r>
      <rPr>
        <sz val="10.5"/>
        <color rgb="FFFF0000"/>
        <rFont val="Aptos Narrow"/>
        <family val="2"/>
        <scheme val="minor"/>
      </rPr>
      <t xml:space="preserve">                                                           </t>
    </r>
  </si>
  <si>
    <t>tax_deferred_compass</t>
  </si>
  <si>
    <t>tax_paid_compass</t>
  </si>
  <si>
    <t>serving_waived</t>
  </si>
  <si>
    <t>compass_required</t>
  </si>
  <si>
    <t>compass_equalizing</t>
  </si>
  <si>
    <t>compass_match</t>
  </si>
  <si>
    <t>healthcare</t>
  </si>
  <si>
    <t>admin_fee</t>
  </si>
  <si>
    <t>grants_eq_comp</t>
  </si>
  <si>
    <t>grants_salary_supp</t>
  </si>
  <si>
    <t>grants_other</t>
  </si>
  <si>
    <t>total_grants</t>
  </si>
  <si>
    <r>
      <rPr>
        <b/>
        <sz val="11"/>
        <rFont val="Aptos Narrow"/>
        <family val="2"/>
        <scheme val="minor"/>
      </rPr>
      <t xml:space="preserve">Benefits Administration &amp; Uncollectible Fee
</t>
    </r>
    <r>
      <rPr>
        <sz val="10.5"/>
        <rFont val="Aptos Narrow"/>
        <family val="2"/>
        <scheme val="minor"/>
      </rPr>
      <t>This line is informational only, and will appear on the remittance in January 2026.
(Multiply</t>
    </r>
    <r>
      <rPr>
        <sz val="10.5"/>
        <color rgb="FFFF0000"/>
        <rFont val="Aptos Narrow"/>
        <family val="2"/>
        <scheme val="minor"/>
      </rPr>
      <t xml:space="preserve"> </t>
    </r>
    <r>
      <rPr>
        <sz val="10.5"/>
        <rFont val="Aptos Narrow"/>
        <family val="2"/>
        <scheme val="minor"/>
      </rPr>
      <t>line 17 by 1.6%)</t>
    </r>
    <r>
      <rPr>
        <sz val="10.5"/>
        <color rgb="FFFF0000"/>
        <rFont val="Aptos Narrow"/>
        <family val="2"/>
        <scheme val="minor"/>
      </rPr>
      <t xml:space="preserve"> </t>
    </r>
  </si>
  <si>
    <r>
      <rPr>
        <b/>
        <sz val="11"/>
        <rFont val="Aptos Narrow"/>
        <family val="2"/>
        <scheme val="minor"/>
      </rPr>
      <t>Compass Retirement - Sponsor Flat Dollar Contribution</t>
    </r>
    <r>
      <rPr>
        <b/>
        <sz val="10.5"/>
        <rFont val="Aptos Narrow"/>
        <family val="2"/>
        <scheme val="minor"/>
      </rPr>
      <t xml:space="preserve">
</t>
    </r>
    <r>
      <rPr>
        <sz val="10.5"/>
        <rFont val="Aptos Narrow"/>
        <family val="2"/>
        <scheme val="minor"/>
      </rPr>
      <t xml:space="preserve">Compass is available for FT, 3/4, and 1/2 time clergy.
$150 per month (FT - 12 months, 3/4 - 9 months, 1/2 - 6 months)
</t>
    </r>
    <r>
      <rPr>
        <b/>
        <sz val="10.5"/>
        <rFont val="Aptos Narrow"/>
        <family val="2"/>
        <scheme val="minor"/>
      </rPr>
      <t>(Enter flat amount dependant on full clergy appointment status.
Full Time - $1800, 3/4 - $1350, 1/2 - $900)
Amount will be split proportional to the salary split.</t>
    </r>
  </si>
  <si>
    <t>Click here to view these instructions. It is highly recommended to review the instructions as a guide when completing this report. 
For those using NUMBERS or GOOGLE SHEETS, please read the beginning of the online instructions.</t>
  </si>
  <si>
    <r>
      <t xml:space="preserve">If you're using </t>
    </r>
    <r>
      <rPr>
        <b/>
        <sz val="12"/>
        <color rgb="FFFF0000"/>
        <rFont val="Aptos Narrow"/>
        <family val="2"/>
        <scheme val="minor"/>
      </rPr>
      <t xml:space="preserve">NUMBERS </t>
    </r>
    <r>
      <rPr>
        <b/>
        <sz val="12"/>
        <color theme="1"/>
        <rFont val="Aptos Narrow"/>
        <family val="2"/>
        <scheme val="minor"/>
      </rPr>
      <t xml:space="preserve">or </t>
    </r>
    <r>
      <rPr>
        <b/>
        <sz val="12"/>
        <color rgb="FFFF0000"/>
        <rFont val="Aptos Narrow"/>
        <family val="2"/>
        <scheme val="minor"/>
      </rPr>
      <t>GOOGLE SHEETS</t>
    </r>
    <r>
      <rPr>
        <b/>
        <sz val="12"/>
        <color theme="1"/>
        <rFont val="Aptos Narrow"/>
        <family val="2"/>
        <scheme val="minor"/>
      </rPr>
      <t>, the checkboxes below the "I AGREE" column may not appear. Please type in an "X" in the column instead next to the signature.</t>
    </r>
  </si>
  <si>
    <t>If you would like to waive Compass, regardless of the above lines. Enter X here. (Not available for Full Time)
Removes lines 18, 19, and 20.
Please fill out a Compass Waiver form in addition to this form.</t>
  </si>
  <si>
    <t>Full Member (Elder/Deacon)</t>
  </si>
  <si>
    <t>Full Time Local Pastor</t>
  </si>
  <si>
    <t>All full time pastors shall be provided with a parsonage or a housing allowance as part of their total compensation package.</t>
  </si>
  <si>
    <t>*Less than full time clergy are not guaranteed housing or a parsonage and have no mandated minimums. The figures to the left are only a reference point for salary discussions.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</si>
</sst>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
  </numFmts>
  <fonts count="40"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12"/>
      <color theme="1"/>
      <name val="Aptos Narrow"/>
      <family val="2"/>
      <scheme val="minor"/>
    </font>
    <font>
      <sz val="12"/>
      <color theme="1"/>
      <name val="Aptos Narrow"/>
      <family val="2"/>
      <scheme val="minor"/>
    </font>
    <font>
      <sz val="14"/>
      <color theme="1"/>
      <name val="Aptos Narrow"/>
      <family val="2"/>
      <scheme val="minor"/>
    </font>
    <font>
      <sz val="11"/>
      <color theme="1"/>
      <name val="Arial"/>
      <family val="2"/>
    </font>
    <font>
      <sz val="10"/>
      <color theme="1"/>
      <name val="Aptos Narrow"/>
      <family val="2"/>
      <scheme val="minor"/>
    </font>
    <font>
      <sz val="10.5"/>
      <color theme="1"/>
      <name val="Aptos Narrow"/>
      <family val="2"/>
      <scheme val="minor"/>
    </font>
    <font>
      <sz val="10.5"/>
      <name val="Aptos Narrow"/>
      <family val="2"/>
      <scheme val="minor"/>
    </font>
    <font>
      <b/>
      <sz val="10"/>
      <color theme="1"/>
      <name val="Arial"/>
      <family val="2"/>
    </font>
    <font>
      <sz val="11"/>
      <color indexed="8"/>
      <name val="Aptos Narrow"/>
      <family val="2"/>
      <scheme val="minor"/>
    </font>
    <font>
      <sz val="10.5"/>
      <color rgb="FFFF0000"/>
      <name val="Aptos Narrow"/>
      <family val="2"/>
      <scheme val="minor"/>
    </font>
    <font>
      <sz val="11"/>
      <name val="Aptos Narrow"/>
      <family val="2"/>
      <scheme val="minor"/>
    </font>
    <font>
      <b/>
      <sz val="11"/>
      <name val="Aptos Narrow"/>
      <family val="2"/>
      <scheme val="minor"/>
    </font>
    <font>
      <b/>
      <sz val="10.5"/>
      <name val="Aptos Narrow"/>
      <family val="2"/>
      <scheme val="minor"/>
    </font>
    <font>
      <b/>
      <sz val="10.5"/>
      <color theme="1"/>
      <name val="Aptos Narrow"/>
      <family val="2"/>
      <scheme val="minor"/>
    </font>
    <font>
      <b/>
      <sz val="10.5"/>
      <color rgb="FFFF0000"/>
      <name val="Aptos Narrow"/>
      <family val="2"/>
      <scheme val="minor"/>
    </font>
    <font>
      <b/>
      <sz val="9"/>
      <color theme="1"/>
      <name val="Arial"/>
      <family val="2"/>
    </font>
    <font>
      <sz val="9"/>
      <color theme="1"/>
      <name val="Arial"/>
      <family val="2"/>
    </font>
    <font>
      <b/>
      <sz val="10"/>
      <color theme="1"/>
      <name val="Aptos Narrow"/>
      <family val="2"/>
      <scheme val="minor"/>
    </font>
    <font>
      <b/>
      <sz val="14"/>
      <color theme="1"/>
      <name val="Aptos Narrow"/>
      <family val="2"/>
      <scheme val="minor"/>
    </font>
    <font>
      <b/>
      <sz val="11"/>
      <color rgb="FFFF0000"/>
      <name val="Aptos Narrow"/>
      <family val="2"/>
      <scheme val="minor"/>
    </font>
    <font>
      <b/>
      <sz val="12"/>
      <color rgb="FFFF0000"/>
      <name val="Aptos Narrow"/>
      <family val="2"/>
      <scheme val="minor"/>
    </font>
    <font>
      <b/>
      <sz val="12.5"/>
      <color theme="1"/>
      <name val="Aptos Narrow"/>
      <family val="2"/>
      <scheme val="minor"/>
    </font>
    <font>
      <sz val="12"/>
      <name val="Aptos Narrow"/>
      <family val="2"/>
      <scheme val="minor"/>
    </font>
    <font>
      <sz val="11"/>
      <color rgb="FF000000"/>
      <name val="Segoe UI"/>
      <family val="2"/>
    </font>
    <font>
      <b/>
      <i/>
      <sz val="11"/>
      <color theme="1"/>
      <name val="Arial"/>
      <family val="2"/>
    </font>
    <font>
      <b/>
      <sz val="12"/>
      <name val="Aptos Narrow"/>
      <family val="2"/>
      <scheme val="minor"/>
    </font>
    <font>
      <b/>
      <u/>
      <sz val="12"/>
      <color theme="1"/>
      <name val="Aptos Narrow"/>
      <family val="2"/>
      <scheme val="minor"/>
    </font>
    <font>
      <u/>
      <sz val="12"/>
      <color theme="1"/>
      <name val="Aptos Narrow"/>
      <family val="2"/>
      <scheme val="minor"/>
    </font>
    <font>
      <b/>
      <u/>
      <sz val="12"/>
      <color rgb="FFFF0000"/>
      <name val="Aptos Narrow"/>
      <family val="2"/>
      <scheme val="minor"/>
    </font>
    <font>
      <b/>
      <u/>
      <sz val="16"/>
      <color theme="10"/>
      <name val="Aptos Narrow"/>
      <family val="2"/>
      <scheme val="minor"/>
    </font>
    <font>
      <b/>
      <sz val="16"/>
      <color theme="1"/>
      <name val="Aptos Narrow"/>
      <family val="2"/>
      <scheme val="minor"/>
    </font>
    <font>
      <b/>
      <sz val="13"/>
      <color theme="1"/>
      <name val="Aptos Narrow"/>
      <family val="2"/>
      <scheme val="minor"/>
    </font>
    <font>
      <b/>
      <u/>
      <sz val="11"/>
      <name val="Aptos Narrow"/>
      <family val="2"/>
      <scheme val="minor"/>
    </font>
    <font>
      <b/>
      <sz val="16"/>
      <color rgb="FFFF0000"/>
      <name val="Aptos Narrow"/>
      <family val="2"/>
      <scheme val="minor"/>
    </font>
    <font>
      <b/>
      <sz val="11"/>
      <color theme="1"/>
      <name val="Arial"/>
      <family val="2"/>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FFF00"/>
        <bgColor indexed="64"/>
      </patternFill>
    </fill>
    <fill>
      <patternFill patternType="solid">
        <fgColor rgb="FFEAEAEA"/>
        <bgColor indexed="64"/>
      </patternFill>
    </fill>
    <fill>
      <patternFill patternType="solid">
        <fgColor theme="7" tint="0.79998168889431442"/>
        <bgColor indexed="64"/>
      </patternFill>
    </fill>
  </fills>
  <borders count="46">
    <border>
      <left/>
      <right/>
      <top/>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right style="double">
        <color indexed="64"/>
      </right>
      <top/>
      <bottom/>
      <diagonal/>
    </border>
    <border>
      <left style="double">
        <color indexed="64"/>
      </left>
      <right/>
      <top/>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0" fontId="4" fillId="0" borderId="0" applyNumberFormat="0" applyFill="0" applyBorder="0" applyAlignment="0" applyProtection="0"/>
    <xf numFmtId="44" fontId="1" fillId="0" borderId="0" applyFont="0" applyFill="0" applyBorder="0" applyAlignment="0" applyProtection="0"/>
  </cellStyleXfs>
  <cellXfs count="330">
    <xf numFmtId="0" fontId="0" fillId="0" borderId="0" xfId="0"/>
    <xf numFmtId="0" fontId="6" fillId="0" borderId="0" xfId="0" applyFont="1" applyAlignment="1">
      <alignment horizontal="center"/>
    </xf>
    <xf numFmtId="0" fontId="6" fillId="0" borderId="0" xfId="0" applyFont="1"/>
    <xf numFmtId="49" fontId="6" fillId="0" borderId="0" xfId="0" applyNumberFormat="1" applyFont="1" applyAlignment="1">
      <alignment horizontal="center"/>
    </xf>
    <xf numFmtId="0" fontId="27" fillId="0" borderId="0" xfId="0" applyFont="1" applyAlignment="1">
      <alignment horizontal="left" vertical="center"/>
    </xf>
    <xf numFmtId="0" fontId="6" fillId="0" borderId="0" xfId="0" applyFont="1" applyAlignment="1">
      <alignment horizontal="left" vertical="center"/>
    </xf>
    <xf numFmtId="12" fontId="6" fillId="0" borderId="0" xfId="0" applyNumberFormat="1" applyFont="1" applyAlignment="1">
      <alignment horizontal="center"/>
    </xf>
    <xf numFmtId="0" fontId="28" fillId="0" borderId="0" xfId="0" applyFont="1"/>
    <xf numFmtId="49" fontId="0" fillId="0" borderId="0" xfId="0" applyNumberFormat="1" applyAlignment="1">
      <alignment horizontal="center"/>
    </xf>
    <xf numFmtId="0" fontId="2" fillId="0" borderId="0" xfId="0" applyFont="1"/>
    <xf numFmtId="14" fontId="0" fillId="0" borderId="0" xfId="0" applyNumberFormat="1"/>
    <xf numFmtId="0" fontId="4" fillId="0" borderId="30" xfId="2" applyBorder="1" applyAlignment="1" applyProtection="1">
      <alignment horizontal="center" wrapText="1"/>
      <protection locked="0"/>
    </xf>
    <xf numFmtId="0" fontId="8" fillId="0" borderId="24" xfId="0" applyFont="1" applyBorder="1" applyAlignment="1">
      <alignment horizontal="center" wrapText="1"/>
    </xf>
    <xf numFmtId="3" fontId="8" fillId="0" borderId="24" xfId="0" applyNumberFormat="1" applyFont="1" applyBorder="1" applyAlignment="1">
      <alignment horizontal="center"/>
    </xf>
    <xf numFmtId="3" fontId="8" fillId="0" borderId="24" xfId="3" applyNumberFormat="1" applyFont="1" applyBorder="1" applyAlignment="1">
      <alignment horizontal="center"/>
    </xf>
    <xf numFmtId="0" fontId="4" fillId="0" borderId="24" xfId="2" applyBorder="1" applyAlignment="1">
      <alignment horizontal="center"/>
    </xf>
    <xf numFmtId="0" fontId="8" fillId="0" borderId="0" xfId="0" applyFont="1"/>
    <xf numFmtId="0" fontId="8" fillId="0" borderId="0" xfId="0" applyFont="1" applyAlignment="1">
      <alignment horizontal="center"/>
    </xf>
    <xf numFmtId="0" fontId="6" fillId="0" borderId="24" xfId="0" applyFont="1" applyBorder="1" applyAlignment="1" applyProtection="1">
      <alignment horizontal="center" vertical="center" wrapText="1"/>
      <protection locked="0"/>
    </xf>
    <xf numFmtId="164" fontId="1" fillId="0" borderId="24" xfId="1" applyNumberFormat="1" applyFont="1" applyFill="1" applyBorder="1" applyProtection="1">
      <protection locked="0"/>
    </xf>
    <xf numFmtId="164" fontId="1" fillId="0" borderId="23" xfId="1" applyNumberFormat="1" applyFont="1" applyFill="1" applyBorder="1" applyProtection="1">
      <protection locked="0"/>
    </xf>
    <xf numFmtId="164" fontId="1" fillId="0" borderId="24" xfId="1" applyNumberFormat="1" applyFont="1" applyBorder="1" applyProtection="1">
      <protection locked="0"/>
    </xf>
    <xf numFmtId="164" fontId="1" fillId="0" borderId="23" xfId="1" applyNumberFormat="1" applyFont="1" applyBorder="1" applyProtection="1">
      <protection locked="0"/>
    </xf>
    <xf numFmtId="164" fontId="1" fillId="0" borderId="26" xfId="1" applyNumberFormat="1" applyFont="1" applyFill="1" applyBorder="1" applyProtection="1">
      <protection locked="0"/>
    </xf>
    <xf numFmtId="0" fontId="0" fillId="0" borderId="27" xfId="0" applyBorder="1" applyProtection="1">
      <protection locked="0"/>
    </xf>
    <xf numFmtId="0" fontId="0" fillId="0" borderId="39" xfId="0" applyBorder="1" applyProtection="1">
      <protection locked="0"/>
    </xf>
    <xf numFmtId="0" fontId="0" fillId="0" borderId="40" xfId="0" applyBorder="1" applyProtection="1">
      <protection locked="0"/>
    </xf>
    <xf numFmtId="3" fontId="0" fillId="0" borderId="27" xfId="1" applyNumberFormat="1" applyFont="1" applyBorder="1" applyProtection="1">
      <protection locked="0"/>
    </xf>
    <xf numFmtId="0" fontId="0" fillId="0" borderId="41" xfId="0" applyBorder="1" applyProtection="1">
      <protection locked="0"/>
    </xf>
    <xf numFmtId="0" fontId="0" fillId="0" borderId="42" xfId="0" applyBorder="1" applyProtection="1">
      <protection locked="0"/>
    </xf>
    <xf numFmtId="164" fontId="1" fillId="0" borderId="30" xfId="1" applyNumberFormat="1" applyFont="1" applyFill="1" applyBorder="1" applyProtection="1">
      <protection locked="0"/>
    </xf>
    <xf numFmtId="164" fontId="1" fillId="0" borderId="24" xfId="1" applyNumberFormat="1" applyFont="1" applyBorder="1" applyAlignment="1" applyProtection="1">
      <alignment horizontal="center" vertical="center"/>
      <protection locked="0"/>
    </xf>
    <xf numFmtId="43" fontId="3" fillId="0" borderId="32" xfId="1" applyFont="1" applyFill="1" applyBorder="1" applyAlignment="1" applyProtection="1">
      <alignment horizontal="center" vertical="center"/>
      <protection locked="0"/>
    </xf>
    <xf numFmtId="0" fontId="6" fillId="0" borderId="30" xfId="0" applyFont="1" applyBorder="1" applyAlignment="1" applyProtection="1">
      <alignment horizontal="center" vertical="center" wrapText="1"/>
      <protection locked="0"/>
    </xf>
    <xf numFmtId="0" fontId="5" fillId="0" borderId="0" xfId="0" applyFont="1" applyAlignment="1">
      <alignment horizontal="left" vertical="center" wrapText="1"/>
    </xf>
    <xf numFmtId="0" fontId="5" fillId="0" borderId="0" xfId="0" applyFont="1" applyAlignment="1">
      <alignment horizontal="left" vertical="center"/>
    </xf>
    <xf numFmtId="0" fontId="6" fillId="0" borderId="21" xfId="0" applyFont="1" applyBorder="1" applyAlignment="1">
      <alignment horizontal="center" vertical="center" wrapText="1"/>
    </xf>
    <xf numFmtId="0" fontId="5" fillId="0" borderId="26" xfId="0" applyFont="1" applyBorder="1" applyAlignment="1">
      <alignment horizontal="left" vertical="center"/>
    </xf>
    <xf numFmtId="0" fontId="22" fillId="0" borderId="0" xfId="0" applyFont="1" applyAlignment="1">
      <alignment horizontal="left" vertical="center" wrapText="1"/>
    </xf>
    <xf numFmtId="0" fontId="22" fillId="0" borderId="30" xfId="0" applyFont="1" applyBorder="1" applyAlignment="1">
      <alignment horizontal="left" vertical="center" wrapText="1"/>
    </xf>
    <xf numFmtId="0" fontId="22" fillId="0" borderId="18" xfId="0" applyFont="1" applyBorder="1" applyAlignment="1">
      <alignment horizontal="left" vertical="center" wrapText="1"/>
    </xf>
    <xf numFmtId="0" fontId="3" fillId="4" borderId="21"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8" fillId="4" borderId="24" xfId="0" applyFont="1" applyFill="1" applyBorder="1" applyAlignment="1">
      <alignment horizontal="center"/>
    </xf>
    <xf numFmtId="0" fontId="3" fillId="4" borderId="24" xfId="0" applyFont="1" applyFill="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164" fontId="1" fillId="0" borderId="24" xfId="1" applyNumberFormat="1" applyFont="1" applyBorder="1" applyProtection="1"/>
    <xf numFmtId="164" fontId="0" fillId="0" borderId="29" xfId="0" applyNumberFormat="1" applyBorder="1"/>
    <xf numFmtId="164" fontId="0" fillId="0" borderId="27" xfId="0" applyNumberFormat="1" applyBorder="1"/>
    <xf numFmtId="164" fontId="1" fillId="0" borderId="28" xfId="1" applyNumberFormat="1" applyFont="1" applyBorder="1" applyProtection="1"/>
    <xf numFmtId="164" fontId="0" fillId="0" borderId="29" xfId="1" applyNumberFormat="1" applyFont="1" applyBorder="1" applyProtection="1"/>
    <xf numFmtId="164" fontId="0" fillId="0" borderId="27" xfId="1" applyNumberFormat="1" applyFont="1" applyBorder="1" applyProtection="1"/>
    <xf numFmtId="164" fontId="1" fillId="0" borderId="28" xfId="1" applyNumberFormat="1" applyFont="1" applyBorder="1" applyAlignment="1" applyProtection="1">
      <alignment horizontal="center" vertical="center"/>
    </xf>
    <xf numFmtId="0" fontId="20" fillId="0" borderId="20" xfId="0" applyFont="1" applyBorder="1"/>
    <xf numFmtId="0" fontId="0" fillId="0" borderId="20" xfId="0" applyBorder="1"/>
    <xf numFmtId="0" fontId="20" fillId="0" borderId="31" xfId="0" applyFont="1" applyBorder="1"/>
    <xf numFmtId="0" fontId="0" fillId="0" borderId="18" xfId="0" applyBorder="1"/>
    <xf numFmtId="0" fontId="20" fillId="0" borderId="18" xfId="0" applyFont="1" applyBorder="1"/>
    <xf numFmtId="164" fontId="1" fillId="0" borderId="30" xfId="1" applyNumberFormat="1" applyFont="1" applyFill="1" applyBorder="1" applyProtection="1"/>
    <xf numFmtId="164" fontId="1" fillId="0" borderId="30" xfId="1" applyNumberFormat="1" applyFont="1" applyBorder="1" applyProtection="1"/>
    <xf numFmtId="164" fontId="1" fillId="0" borderId="24" xfId="1" applyNumberFormat="1" applyFont="1" applyBorder="1" applyAlignment="1" applyProtection="1">
      <alignment horizontal="center" vertical="center"/>
    </xf>
    <xf numFmtId="164" fontId="1" fillId="0" borderId="24" xfId="1" applyNumberFormat="1" applyFont="1" applyFill="1" applyBorder="1" applyAlignment="1" applyProtection="1">
      <alignment horizontal="center" vertical="center"/>
    </xf>
    <xf numFmtId="0" fontId="3" fillId="2" borderId="24" xfId="0" applyFont="1" applyFill="1" applyBorder="1" applyAlignment="1">
      <alignment horizontal="center" vertical="center" wrapText="1"/>
    </xf>
    <xf numFmtId="0" fontId="3" fillId="2" borderId="24" xfId="0" applyFont="1" applyFill="1" applyBorder="1" applyAlignment="1">
      <alignment vertical="center"/>
    </xf>
    <xf numFmtId="0" fontId="3" fillId="2" borderId="24" xfId="0" applyFont="1" applyFill="1" applyBorder="1" applyAlignment="1">
      <alignment horizontal="center" vertical="center"/>
    </xf>
    <xf numFmtId="164" fontId="0" fillId="0" borderId="24" xfId="0" applyNumberFormat="1" applyBorder="1" applyAlignment="1">
      <alignment horizontal="center" vertical="center"/>
    </xf>
    <xf numFmtId="164" fontId="0" fillId="0" borderId="24" xfId="0" applyNumberFormat="1" applyBorder="1" applyAlignment="1">
      <alignment vertical="center"/>
    </xf>
    <xf numFmtId="164" fontId="1" fillId="0" borderId="24" xfId="1" applyNumberFormat="1" applyFont="1" applyBorder="1" applyAlignment="1" applyProtection="1">
      <alignment vertical="center"/>
    </xf>
    <xf numFmtId="164" fontId="21" fillId="6" borderId="24" xfId="1" applyNumberFormat="1" applyFont="1" applyFill="1" applyBorder="1" applyAlignment="1" applyProtection="1">
      <alignment horizontal="center" vertical="center"/>
    </xf>
    <xf numFmtId="0" fontId="21" fillId="0" borderId="0" xfId="0" applyFont="1" applyAlignment="1">
      <alignment horizontal="center" vertical="top"/>
    </xf>
    <xf numFmtId="0" fontId="3" fillId="0" borderId="0" xfId="0" applyFont="1" applyAlignment="1">
      <alignment vertical="center"/>
    </xf>
    <xf numFmtId="164" fontId="1" fillId="0" borderId="0" xfId="1" applyNumberFormat="1" applyFont="1" applyBorder="1" applyProtection="1"/>
    <xf numFmtId="164" fontId="21" fillId="0" borderId="0" xfId="1" applyNumberFormat="1" applyFont="1" applyBorder="1" applyAlignment="1" applyProtection="1">
      <alignment horizontal="center" vertical="top"/>
    </xf>
    <xf numFmtId="0" fontId="19" fillId="0" borderId="0" xfId="0" applyFont="1" applyAlignment="1">
      <alignment horizontal="left" wrapText="1"/>
    </xf>
    <xf numFmtId="0" fontId="6" fillId="0" borderId="0" xfId="0" applyFont="1" applyAlignment="1">
      <alignment wrapText="1"/>
    </xf>
    <xf numFmtId="0" fontId="9" fillId="0" borderId="0" xfId="0" applyFont="1" applyAlignment="1">
      <alignment wrapText="1"/>
    </xf>
    <xf numFmtId="0" fontId="3" fillId="0" borderId="0" xfId="0" applyFont="1" applyAlignment="1">
      <alignment horizontal="right"/>
    </xf>
    <xf numFmtId="0" fontId="9" fillId="0" borderId="0" xfId="0" applyFont="1" applyAlignment="1">
      <alignment horizontal="center"/>
    </xf>
    <xf numFmtId="0" fontId="5" fillId="0" borderId="0" xfId="0" applyFont="1" applyAlignment="1">
      <alignment horizontal="center" wrapText="1"/>
    </xf>
    <xf numFmtId="0" fontId="9" fillId="0" borderId="0" xfId="0" applyFont="1"/>
    <xf numFmtId="0" fontId="0" fillId="0" borderId="0" xfId="0" applyAlignment="1">
      <alignment vertical="top" wrapText="1"/>
    </xf>
    <xf numFmtId="0" fontId="25" fillId="0" borderId="0" xfId="0" applyFont="1" applyAlignment="1">
      <alignment horizontal="center"/>
    </xf>
    <xf numFmtId="0" fontId="5" fillId="0" borderId="0" xfId="0" applyFont="1"/>
    <xf numFmtId="0" fontId="25" fillId="0" borderId="33" xfId="0" applyFont="1" applyBorder="1" applyAlignment="1">
      <alignment horizontal="center" vertical="center"/>
    </xf>
    <xf numFmtId="0" fontId="0" fillId="0" borderId="34" xfId="0" applyBorder="1"/>
    <xf numFmtId="0" fontId="0" fillId="0" borderId="35" xfId="0" applyBorder="1"/>
    <xf numFmtId="0" fontId="0" fillId="0" borderId="36" xfId="0" applyBorder="1"/>
    <xf numFmtId="0" fontId="5" fillId="0" borderId="36" xfId="0" applyFont="1" applyBorder="1" applyAlignment="1">
      <alignment horizontal="left" indent="4"/>
    </xf>
    <xf numFmtId="0" fontId="5" fillId="0" borderId="0" xfId="0" applyFont="1" applyAlignment="1">
      <alignment horizontal="left" indent="4"/>
    </xf>
    <xf numFmtId="0" fontId="5" fillId="0" borderId="0" xfId="0" applyFont="1" applyAlignment="1">
      <alignment vertical="center"/>
    </xf>
    <xf numFmtId="0" fontId="5" fillId="0" borderId="35" xfId="0" applyFont="1" applyBorder="1"/>
    <xf numFmtId="0" fontId="6" fillId="0" borderId="35" xfId="0" applyFont="1" applyBorder="1"/>
    <xf numFmtId="0" fontId="6" fillId="0" borderId="0" xfId="0" applyFont="1" applyAlignment="1">
      <alignment horizontal="left"/>
    </xf>
    <xf numFmtId="0" fontId="6" fillId="0" borderId="35" xfId="0" applyFont="1" applyBorder="1" applyAlignment="1">
      <alignment horizontal="left"/>
    </xf>
    <xf numFmtId="0" fontId="3" fillId="0" borderId="0" xfId="0" applyFont="1"/>
    <xf numFmtId="0" fontId="0" fillId="0" borderId="33" xfId="0" applyBorder="1"/>
    <xf numFmtId="0" fontId="5" fillId="0" borderId="36" xfId="0" applyFont="1" applyBorder="1" applyAlignment="1">
      <alignment horizontal="left" indent="1"/>
    </xf>
    <xf numFmtId="0" fontId="5" fillId="0" borderId="0" xfId="0" applyFont="1" applyAlignment="1">
      <alignment horizontal="right" vertical="center" wrapText="1"/>
    </xf>
    <xf numFmtId="0" fontId="6" fillId="0" borderId="36" xfId="0" applyFont="1" applyBorder="1"/>
    <xf numFmtId="0" fontId="6" fillId="0" borderId="0" xfId="0" quotePrefix="1" applyFont="1"/>
    <xf numFmtId="0" fontId="0" fillId="0" borderId="35" xfId="0" applyBorder="1" applyAlignment="1">
      <alignment horizontal="left"/>
    </xf>
    <xf numFmtId="0" fontId="6" fillId="0" borderId="36" xfId="0" applyFont="1" applyBorder="1" applyAlignment="1">
      <alignment horizontal="left" indent="2"/>
    </xf>
    <xf numFmtId="0" fontId="6" fillId="0" borderId="0" xfId="0" applyFont="1" applyAlignment="1">
      <alignment horizontal="left" indent="2"/>
    </xf>
    <xf numFmtId="164" fontId="1" fillId="0" borderId="24" xfId="1" applyNumberFormat="1" applyFont="1" applyBorder="1" applyAlignment="1" applyProtection="1">
      <alignment vertical="center"/>
      <protection locked="0"/>
    </xf>
    <xf numFmtId="0" fontId="8" fillId="0" borderId="30" xfId="0" applyFont="1" applyBorder="1" applyAlignment="1">
      <alignment horizontal="center" vertical="center" wrapText="1"/>
    </xf>
    <xf numFmtId="3" fontId="8" fillId="0" borderId="30" xfId="0" applyNumberFormat="1" applyFont="1" applyBorder="1" applyAlignment="1">
      <alignment horizontal="center" vertical="center" wrapText="1"/>
    </xf>
    <xf numFmtId="0" fontId="8" fillId="0" borderId="30" xfId="0" applyFont="1" applyBorder="1" applyAlignment="1">
      <alignment vertical="center" wrapText="1"/>
    </xf>
    <xf numFmtId="0" fontId="5" fillId="0" borderId="0" xfId="0" applyFont="1" applyAlignment="1">
      <alignment wrapText="1"/>
    </xf>
    <xf numFmtId="165" fontId="0" fillId="0" borderId="0" xfId="0" applyNumberFormat="1"/>
    <xf numFmtId="165" fontId="6" fillId="0" borderId="24" xfId="0" applyNumberFormat="1" applyFont="1" applyBorder="1" applyAlignment="1">
      <alignment horizontal="center" vertical="center" wrapText="1"/>
    </xf>
    <xf numFmtId="164" fontId="1" fillId="0" borderId="21" xfId="1" applyNumberFormat="1" applyFont="1" applyBorder="1" applyAlignment="1" applyProtection="1">
      <alignment horizontal="center" vertical="center"/>
    </xf>
    <xf numFmtId="0" fontId="15" fillId="7" borderId="45" xfId="0" applyFont="1" applyFill="1" applyBorder="1" applyAlignment="1" applyProtection="1">
      <alignment horizontal="right" vertical="center" wrapText="1"/>
      <protection locked="0"/>
    </xf>
    <xf numFmtId="0" fontId="0" fillId="0" borderId="0" xfId="0" applyAlignment="1">
      <alignment wrapText="1"/>
    </xf>
    <xf numFmtId="164" fontId="1" fillId="0" borderId="30" xfId="1" applyNumberFormat="1" applyFont="1" applyFill="1" applyBorder="1" applyAlignment="1" applyProtection="1">
      <alignment horizontal="center" vertical="center"/>
      <protection locked="0"/>
    </xf>
    <xf numFmtId="0" fontId="37" fillId="0" borderId="0" xfId="2"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49" fontId="16" fillId="0" borderId="0" xfId="0" applyNumberFormat="1" applyFont="1" applyAlignment="1" applyProtection="1">
      <alignment horizontal="center" vertical="center"/>
      <protection locked="0"/>
    </xf>
    <xf numFmtId="0" fontId="3" fillId="0" borderId="0" xfId="0" applyFont="1" applyAlignment="1" applyProtection="1">
      <alignment horizontal="center" vertical="center"/>
      <protection locked="0"/>
    </xf>
    <xf numFmtId="1" fontId="15" fillId="7" borderId="45" xfId="0" applyNumberFormat="1" applyFont="1" applyFill="1" applyBorder="1" applyAlignment="1" applyProtection="1">
      <alignment horizontal="right" vertical="center" wrapText="1"/>
      <protection locked="0"/>
    </xf>
    <xf numFmtId="164" fontId="0" fillId="0" borderId="24" xfId="1" applyNumberFormat="1" applyFont="1" applyFill="1" applyBorder="1" applyProtection="1">
      <protection locked="0"/>
    </xf>
    <xf numFmtId="0" fontId="24" fillId="0" borderId="0" xfId="0" applyFont="1" applyAlignment="1">
      <alignment horizontal="center"/>
    </xf>
    <xf numFmtId="0" fontId="3" fillId="0" borderId="0" xfId="0" applyFont="1" applyAlignment="1">
      <alignment horizontal="center"/>
    </xf>
    <xf numFmtId="43" fontId="3" fillId="0" borderId="45" xfId="1" applyFont="1" applyFill="1" applyBorder="1" applyAlignment="1" applyProtection="1">
      <alignment horizontal="center" vertical="center"/>
      <protection locked="0"/>
    </xf>
    <xf numFmtId="0" fontId="5" fillId="0" borderId="0" xfId="0" applyFont="1" applyAlignment="1">
      <alignment horizontal="left"/>
    </xf>
    <xf numFmtId="0" fontId="0" fillId="0" borderId="23" xfId="0"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vertical="center" wrapText="1"/>
    </xf>
    <xf numFmtId="0" fontId="10" fillId="0" borderId="0" xfId="0" applyFont="1" applyAlignment="1">
      <alignment vertical="center" wrapText="1"/>
    </xf>
    <xf numFmtId="0" fontId="14" fillId="0" borderId="24" xfId="0" applyFont="1" applyBorder="1" applyAlignment="1">
      <alignment vertical="center" wrapText="1"/>
    </xf>
    <xf numFmtId="0" fontId="14" fillId="0" borderId="25" xfId="0" applyFont="1" applyBorder="1" applyAlignment="1">
      <alignment vertical="center" wrapText="1"/>
    </xf>
    <xf numFmtId="0" fontId="14" fillId="0" borderId="0" xfId="0" applyFont="1" applyAlignment="1">
      <alignment vertical="center" wrapText="1"/>
    </xf>
    <xf numFmtId="0" fontId="14" fillId="0" borderId="30" xfId="0" applyFont="1" applyBorder="1" applyAlignment="1">
      <alignment vertical="center" wrapText="1"/>
    </xf>
    <xf numFmtId="0" fontId="3" fillId="0" borderId="23" xfId="0" applyFont="1" applyBorder="1" applyAlignment="1">
      <alignment horizontal="left" vertical="center"/>
    </xf>
    <xf numFmtId="0" fontId="3" fillId="0" borderId="20" xfId="0" applyFont="1" applyBorder="1" applyAlignment="1">
      <alignment horizontal="left" vertical="center"/>
    </xf>
    <xf numFmtId="0" fontId="16" fillId="0" borderId="23" xfId="0" applyFont="1" applyBorder="1" applyAlignment="1">
      <alignment horizontal="left" vertical="center" wrapText="1"/>
    </xf>
    <xf numFmtId="0" fontId="16" fillId="0" borderId="20" xfId="0" applyFont="1" applyBorder="1" applyAlignment="1">
      <alignment horizontal="left" vertical="center" wrapText="1"/>
    </xf>
    <xf numFmtId="0" fontId="16" fillId="0" borderId="23" xfId="0" applyFont="1" applyBorder="1" applyAlignment="1">
      <alignment horizontal="left" vertical="center"/>
    </xf>
    <xf numFmtId="0" fontId="16" fillId="0" borderId="20" xfId="0" applyFont="1" applyBorder="1" applyAlignment="1">
      <alignment horizontal="left" vertical="center"/>
    </xf>
    <xf numFmtId="0" fontId="6" fillId="0" borderId="36" xfId="0" applyFont="1" applyBorder="1" applyAlignment="1">
      <alignment horizontal="left" vertical="top" wrapText="1" indent="1"/>
    </xf>
    <xf numFmtId="0" fontId="6" fillId="0" borderId="0" xfId="0" applyFont="1" applyAlignment="1">
      <alignment horizontal="left" vertical="top" wrapText="1" indent="1"/>
    </xf>
    <xf numFmtId="0" fontId="6" fillId="0" borderId="35" xfId="0" applyFont="1" applyBorder="1" applyAlignment="1">
      <alignment horizontal="left" vertical="top" wrapText="1" indent="1"/>
    </xf>
    <xf numFmtId="0" fontId="6" fillId="0" borderId="37" xfId="0" applyFont="1" applyBorder="1" applyAlignment="1">
      <alignment horizontal="left" vertical="top" wrapText="1" indent="1"/>
    </xf>
    <xf numFmtId="0" fontId="6" fillId="0" borderId="33" xfId="0" applyFont="1" applyBorder="1" applyAlignment="1">
      <alignment horizontal="left" vertical="top" wrapText="1" indent="1"/>
    </xf>
    <xf numFmtId="0" fontId="6" fillId="0" borderId="38" xfId="0" applyFont="1" applyBorder="1" applyAlignment="1">
      <alignment horizontal="left" vertical="top" wrapText="1" indent="1"/>
    </xf>
    <xf numFmtId="0" fontId="5" fillId="0" borderId="0" xfId="0" applyFont="1" applyAlignment="1">
      <alignment horizontal="center"/>
    </xf>
    <xf numFmtId="0" fontId="26" fillId="0" borderId="0" xfId="0" applyFont="1"/>
    <xf numFmtId="0" fontId="6" fillId="0" borderId="18" xfId="0" applyFont="1" applyBorder="1" applyAlignment="1" applyProtection="1">
      <alignment horizontal="left" vertical="center"/>
      <protection locked="0"/>
    </xf>
    <xf numFmtId="0" fontId="23" fillId="0" borderId="36" xfId="0" applyFont="1" applyBorder="1" applyAlignment="1">
      <alignment horizontal="center"/>
    </xf>
    <xf numFmtId="0" fontId="23" fillId="0" borderId="0" xfId="0" applyFont="1" applyAlignment="1">
      <alignment horizontal="center"/>
    </xf>
    <xf numFmtId="0" fontId="23" fillId="0" borderId="35" xfId="0" applyFont="1" applyBorder="1" applyAlignment="1">
      <alignment horizontal="center"/>
    </xf>
    <xf numFmtId="0" fontId="9" fillId="0" borderId="0" xfId="0" applyFont="1"/>
    <xf numFmtId="0" fontId="7" fillId="0" borderId="0" xfId="0" applyFont="1" applyAlignment="1">
      <alignment horizontal="center"/>
    </xf>
    <xf numFmtId="0" fontId="6" fillId="0" borderId="0" xfId="0" applyFont="1" applyAlignment="1">
      <alignment vertical="top" wrapText="1"/>
    </xf>
    <xf numFmtId="0" fontId="25" fillId="0" borderId="0" xfId="0" applyFont="1" applyAlignment="1">
      <alignment horizontal="left" vertical="top" wrapText="1"/>
    </xf>
    <xf numFmtId="0" fontId="5" fillId="0" borderId="0" xfId="0" applyFont="1" applyAlignment="1">
      <alignment horizontal="center" vertical="center"/>
    </xf>
    <xf numFmtId="0" fontId="5" fillId="0" borderId="16" xfId="0" applyFont="1" applyBorder="1" applyAlignment="1">
      <alignment wrapText="1"/>
    </xf>
    <xf numFmtId="0" fontId="5" fillId="0" borderId="17" xfId="0" applyFont="1" applyBorder="1" applyAlignment="1">
      <alignment wrapText="1"/>
    </xf>
    <xf numFmtId="165" fontId="0" fillId="0" borderId="24" xfId="0" applyNumberFormat="1" applyBorder="1" applyAlignment="1">
      <alignment horizontal="center" vertical="center" wrapText="1"/>
    </xf>
    <xf numFmtId="165" fontId="6" fillId="0" borderId="24" xfId="0" applyNumberFormat="1" applyFont="1" applyBorder="1" applyAlignment="1">
      <alignment horizontal="center" vertical="center" wrapText="1"/>
    </xf>
    <xf numFmtId="165" fontId="6" fillId="0" borderId="23" xfId="0" applyNumberFormat="1" applyFont="1" applyBorder="1" applyAlignment="1">
      <alignment horizontal="center" vertical="center" wrapText="1"/>
    </xf>
    <xf numFmtId="165" fontId="6" fillId="0" borderId="21" xfId="0" applyNumberFormat="1" applyFont="1" applyBorder="1" applyAlignment="1">
      <alignment horizontal="center" vertical="center" wrapText="1"/>
    </xf>
    <xf numFmtId="0" fontId="6" fillId="0" borderId="22"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3" xfId="0" applyFont="1" applyBorder="1" applyAlignment="1">
      <alignment horizontal="center" vertical="center" wrapText="1"/>
    </xf>
    <xf numFmtId="0" fontId="6" fillId="0" borderId="21" xfId="0" applyFont="1" applyBorder="1" applyAlignment="1">
      <alignment horizontal="center" vertical="center" wrapText="1"/>
    </xf>
    <xf numFmtId="0" fontId="0" fillId="0" borderId="2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6" fillId="0" borderId="20" xfId="0" applyFont="1" applyBorder="1" applyAlignment="1">
      <alignment horizontal="center" vertical="center" wrapText="1"/>
    </xf>
    <xf numFmtId="0" fontId="6" fillId="0" borderId="20"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5" fillId="0" borderId="0" xfId="0" applyFont="1" applyAlignment="1">
      <alignment horizontal="center" wrapText="1"/>
    </xf>
    <xf numFmtId="0" fontId="3" fillId="0" borderId="0" xfId="0" applyFont="1" applyAlignment="1">
      <alignment horizontal="center" vertical="center" wrapText="1"/>
    </xf>
    <xf numFmtId="49" fontId="6" fillId="0" borderId="20" xfId="0" applyNumberFormat="1" applyFont="1" applyBorder="1" applyAlignment="1" applyProtection="1">
      <alignment horizontal="center" vertical="center"/>
      <protection locked="0"/>
    </xf>
    <xf numFmtId="0" fontId="3" fillId="0" borderId="2" xfId="0" applyFont="1" applyBorder="1" applyAlignment="1">
      <alignment horizontal="left" vertical="center" wrapText="1"/>
    </xf>
    <xf numFmtId="0" fontId="0" fillId="0" borderId="0" xfId="0"/>
    <xf numFmtId="0" fontId="6" fillId="0" borderId="18" xfId="0" applyFont="1" applyBorder="1" applyAlignment="1" applyProtection="1">
      <alignment horizontal="left"/>
      <protection locked="0"/>
    </xf>
    <xf numFmtId="0" fontId="3" fillId="0" borderId="0" xfId="0" applyFont="1" applyAlignment="1" applyProtection="1">
      <alignment horizontal="center" vertical="center"/>
      <protection locked="0"/>
    </xf>
    <xf numFmtId="0" fontId="0" fillId="0" borderId="18" xfId="0" applyBorder="1" applyAlignment="1" applyProtection="1">
      <alignment horizontal="left"/>
      <protection locked="0"/>
    </xf>
    <xf numFmtId="0" fontId="0" fillId="0" borderId="0" xfId="0" applyAlignment="1" applyProtection="1">
      <alignment horizontal="left"/>
      <protection locked="0"/>
    </xf>
    <xf numFmtId="0" fontId="6" fillId="0" borderId="36" xfId="0" applyFont="1" applyBorder="1" applyAlignment="1">
      <alignment horizontal="left" vertical="center" wrapText="1"/>
    </xf>
    <xf numFmtId="0" fontId="6" fillId="0" borderId="0" xfId="0" applyFont="1" applyAlignment="1">
      <alignment horizontal="left" vertical="center" wrapText="1"/>
    </xf>
    <xf numFmtId="0" fontId="6" fillId="0" borderId="35" xfId="0" applyFont="1" applyBorder="1" applyAlignment="1">
      <alignment horizontal="left" vertical="center" wrapText="1"/>
    </xf>
    <xf numFmtId="0" fontId="6" fillId="0" borderId="37" xfId="0" applyFont="1" applyBorder="1" applyAlignment="1">
      <alignment horizontal="left" vertical="center" wrapText="1"/>
    </xf>
    <xf numFmtId="0" fontId="6" fillId="0" borderId="33" xfId="0" applyFont="1" applyBorder="1" applyAlignment="1">
      <alignment horizontal="left" vertical="center" wrapText="1"/>
    </xf>
    <xf numFmtId="0" fontId="6" fillId="0" borderId="38" xfId="0" applyFont="1" applyBorder="1" applyAlignment="1">
      <alignment horizontal="left" vertical="center" wrapText="1"/>
    </xf>
    <xf numFmtId="0" fontId="24" fillId="0" borderId="0" xfId="0" applyFont="1" applyAlignment="1">
      <alignment horizontal="center"/>
    </xf>
    <xf numFmtId="0" fontId="3" fillId="0" borderId="0" xfId="0" applyFont="1" applyAlignment="1">
      <alignment horizontal="left"/>
    </xf>
    <xf numFmtId="0" fontId="12" fillId="2" borderId="25" xfId="0" applyFont="1" applyFill="1" applyBorder="1" applyAlignment="1">
      <alignment horizontal="center" vertical="center" textRotation="255"/>
    </xf>
    <xf numFmtId="0" fontId="12" fillId="2" borderId="26" xfId="0" applyFont="1" applyFill="1" applyBorder="1" applyAlignment="1">
      <alignment horizontal="center" vertical="center" textRotation="255"/>
    </xf>
    <xf numFmtId="0" fontId="12" fillId="2" borderId="30" xfId="0" applyFont="1" applyFill="1" applyBorder="1" applyAlignment="1">
      <alignment horizontal="center" vertical="center" textRotation="255"/>
    </xf>
    <xf numFmtId="0" fontId="10" fillId="0" borderId="24" xfId="0" applyFont="1" applyBorder="1" applyAlignment="1">
      <alignment vertical="center" wrapText="1"/>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3" fillId="2" borderId="21" xfId="0" applyFont="1" applyFill="1" applyBorder="1" applyAlignment="1">
      <alignment horizontal="left" vertical="center"/>
    </xf>
    <xf numFmtId="0" fontId="10" fillId="0" borderId="0" xfId="0" applyFont="1" applyAlignment="1">
      <alignment vertical="top" wrapText="1"/>
    </xf>
    <xf numFmtId="0" fontId="10" fillId="0" borderId="23" xfId="0" applyFont="1" applyBorder="1" applyAlignment="1">
      <alignment horizontal="left" vertical="top" wrapText="1"/>
    </xf>
    <xf numFmtId="0" fontId="10" fillId="0" borderId="20" xfId="0" applyFont="1" applyBorder="1" applyAlignment="1">
      <alignment horizontal="left" vertical="top" wrapText="1"/>
    </xf>
    <xf numFmtId="0" fontId="10" fillId="0" borderId="29" xfId="0" applyFont="1" applyBorder="1" applyAlignment="1">
      <alignment horizontal="left" vertical="top" wrapText="1"/>
    </xf>
    <xf numFmtId="0" fontId="17" fillId="0" borderId="24" xfId="0" applyFont="1" applyBorder="1" applyAlignment="1">
      <alignment vertical="center"/>
    </xf>
    <xf numFmtId="0" fontId="10" fillId="0" borderId="24" xfId="0" applyFont="1" applyBorder="1" applyAlignment="1">
      <alignment vertical="center"/>
    </xf>
    <xf numFmtId="0" fontId="6" fillId="0" borderId="0" xfId="0" applyFont="1" applyAlignment="1">
      <alignment wrapText="1"/>
    </xf>
    <xf numFmtId="0" fontId="3" fillId="0" borderId="0" xfId="0" applyFont="1" applyAlignment="1">
      <alignment horizontal="left" wrapText="1"/>
    </xf>
    <xf numFmtId="0" fontId="0" fillId="0" borderId="18" xfId="0" applyBorder="1" applyAlignment="1" applyProtection="1">
      <alignment horizontal="center" vertical="center"/>
      <protection locked="0"/>
    </xf>
    <xf numFmtId="0" fontId="3" fillId="2" borderId="23" xfId="0" applyFont="1" applyFill="1" applyBorder="1" applyAlignment="1">
      <alignment vertical="center" wrapText="1"/>
    </xf>
    <xf numFmtId="0" fontId="3" fillId="2" borderId="20" xfId="0" applyFont="1" applyFill="1" applyBorder="1" applyAlignment="1">
      <alignment vertical="center" wrapText="1"/>
    </xf>
    <xf numFmtId="0" fontId="3" fillId="2" borderId="21" xfId="0" applyFont="1" applyFill="1" applyBorder="1" applyAlignment="1">
      <alignment vertical="center" wrapText="1"/>
    </xf>
    <xf numFmtId="0" fontId="21" fillId="0" borderId="24" xfId="0" applyFont="1" applyBorder="1" applyAlignment="1">
      <alignment horizontal="center" vertical="top"/>
    </xf>
    <xf numFmtId="0" fontId="3" fillId="0" borderId="21" xfId="0" applyFont="1" applyBorder="1" applyAlignment="1">
      <alignment horizontal="left" vertical="center"/>
    </xf>
    <xf numFmtId="0" fontId="10" fillId="0" borderId="23"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3" fillId="2" borderId="23" xfId="0" applyFont="1" applyFill="1" applyBorder="1" applyAlignment="1">
      <alignment vertical="center"/>
    </xf>
    <xf numFmtId="0" fontId="3" fillId="2" borderId="20" xfId="0" applyFont="1" applyFill="1" applyBorder="1" applyAlignment="1">
      <alignment vertical="center"/>
    </xf>
    <xf numFmtId="0" fontId="3" fillId="2" borderId="21" xfId="0" applyFont="1" applyFill="1" applyBorder="1" applyAlignment="1">
      <alignment vertical="center"/>
    </xf>
    <xf numFmtId="0" fontId="3" fillId="0" borderId="23" xfId="0" applyFont="1" applyBorder="1" applyAlignment="1">
      <alignment vertical="center" wrapText="1"/>
    </xf>
    <xf numFmtId="0" fontId="25" fillId="0" borderId="0" xfId="0" applyFont="1" applyAlignment="1">
      <alignment horizontal="left" wrapText="1"/>
    </xf>
    <xf numFmtId="0" fontId="16" fillId="0" borderId="31" xfId="0" applyFont="1" applyBorder="1" applyAlignment="1">
      <alignment horizontal="left" vertical="center" wrapText="1"/>
    </xf>
    <xf numFmtId="0" fontId="3" fillId="2" borderId="2" xfId="0" applyFont="1" applyFill="1" applyBorder="1" applyAlignment="1">
      <alignment vertical="center" wrapText="1"/>
    </xf>
    <xf numFmtId="0" fontId="3" fillId="2" borderId="25"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23"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23"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0" fillId="0" borderId="25" xfId="0" applyBorder="1" applyAlignment="1">
      <alignment horizontal="center" vertical="center"/>
    </xf>
    <xf numFmtId="0" fontId="0" fillId="0" borderId="30" xfId="0" applyBorder="1" applyAlignment="1">
      <alignment horizontal="center" vertical="center"/>
    </xf>
    <xf numFmtId="0" fontId="16" fillId="3" borderId="23"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18" fillId="0" borderId="1" xfId="0" applyFont="1" applyBorder="1" applyAlignment="1">
      <alignment horizontal="left" vertical="top" wrapText="1"/>
    </xf>
    <xf numFmtId="0" fontId="18" fillId="0" borderId="2" xfId="0" applyFont="1" applyBorder="1" applyAlignment="1">
      <alignment horizontal="left" vertical="top" wrapText="1"/>
    </xf>
    <xf numFmtId="0" fontId="18" fillId="0" borderId="5" xfId="0" applyFont="1" applyBorder="1" applyAlignment="1">
      <alignment horizontal="left" vertical="top" wrapText="1"/>
    </xf>
    <xf numFmtId="0" fontId="18" fillId="0" borderId="22" xfId="0" applyFont="1" applyBorder="1" applyAlignment="1">
      <alignment horizontal="left" vertical="top" wrapText="1"/>
    </xf>
    <xf numFmtId="0" fontId="18" fillId="0" borderId="18" xfId="0" applyFont="1" applyBorder="1" applyAlignment="1">
      <alignment horizontal="left" vertical="top" wrapText="1"/>
    </xf>
    <xf numFmtId="0" fontId="18" fillId="0" borderId="19" xfId="0" applyFont="1" applyBorder="1" applyAlignment="1">
      <alignment horizontal="left" vertical="top" wrapText="1"/>
    </xf>
    <xf numFmtId="0" fontId="10" fillId="0" borderId="30" xfId="0" applyFont="1" applyBorder="1" applyAlignment="1">
      <alignment vertical="center" wrapText="1"/>
    </xf>
    <xf numFmtId="0" fontId="3" fillId="3" borderId="23" xfId="0" applyFont="1" applyFill="1" applyBorder="1" applyAlignment="1">
      <alignment horizontal="left" vertical="center" wrapText="1"/>
    </xf>
    <xf numFmtId="0" fontId="17" fillId="0" borderId="23" xfId="0" applyFont="1" applyBorder="1" applyAlignment="1">
      <alignment horizontal="left" vertical="center" wrapText="1"/>
    </xf>
    <xf numFmtId="0" fontId="17" fillId="0" borderId="20" xfId="0" applyFont="1" applyBorder="1" applyAlignment="1">
      <alignment horizontal="left" vertical="center" wrapText="1"/>
    </xf>
    <xf numFmtId="0" fontId="0" fillId="0" borderId="23"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10" fillId="0" borderId="23" xfId="0" applyFont="1" applyBorder="1" applyAlignment="1">
      <alignment vertical="center" wrapText="1"/>
    </xf>
    <xf numFmtId="0" fontId="10" fillId="0" borderId="0" xfId="0" applyFont="1" applyAlignment="1">
      <alignment vertical="center"/>
    </xf>
    <xf numFmtId="0" fontId="10" fillId="0" borderId="24" xfId="0" applyFont="1" applyBorder="1" applyAlignment="1">
      <alignment vertical="top" wrapText="1"/>
    </xf>
    <xf numFmtId="0" fontId="34" fillId="0" borderId="22" xfId="2" applyFont="1" applyBorder="1" applyAlignment="1" applyProtection="1">
      <alignment horizontal="center" vertical="center" wrapText="1"/>
    </xf>
    <xf numFmtId="0" fontId="34" fillId="0" borderId="18" xfId="2" applyFont="1" applyBorder="1" applyAlignment="1" applyProtection="1">
      <alignment horizontal="center" vertical="center"/>
    </xf>
    <xf numFmtId="0" fontId="34" fillId="0" borderId="20" xfId="2" applyFont="1" applyBorder="1" applyAlignment="1" applyProtection="1">
      <alignment horizontal="center" vertical="center"/>
    </xf>
    <xf numFmtId="0" fontId="34" fillId="0" borderId="21" xfId="2" applyFont="1" applyBorder="1" applyAlignment="1" applyProtection="1">
      <alignment horizontal="center" vertical="center"/>
    </xf>
    <xf numFmtId="0" fontId="0" fillId="4" borderId="23" xfId="0" applyFill="1" applyBorder="1" applyAlignment="1">
      <alignment horizontal="left"/>
    </xf>
    <xf numFmtId="0" fontId="0" fillId="4" borderId="20" xfId="0" applyFill="1" applyBorder="1" applyAlignment="1">
      <alignment horizontal="left"/>
    </xf>
    <xf numFmtId="0" fontId="0" fillId="4" borderId="21" xfId="0" applyFill="1" applyBorder="1" applyAlignment="1">
      <alignment horizontal="left"/>
    </xf>
    <xf numFmtId="0" fontId="3" fillId="0" borderId="24" xfId="0" applyFont="1" applyBorder="1" applyAlignment="1">
      <alignment vertical="center"/>
    </xf>
    <xf numFmtId="0" fontId="0" fillId="0" borderId="24" xfId="0" applyBorder="1" applyAlignment="1">
      <alignment vertical="center"/>
    </xf>
    <xf numFmtId="0" fontId="3" fillId="0" borderId="24" xfId="0" applyFont="1" applyBorder="1" applyAlignment="1">
      <alignment vertical="center" wrapText="1"/>
    </xf>
    <xf numFmtId="0" fontId="0" fillId="0" borderId="24" xfId="0" applyBorder="1" applyAlignment="1">
      <alignment vertical="center" wrapText="1"/>
    </xf>
    <xf numFmtId="0" fontId="3" fillId="2" borderId="26" xfId="0" applyFont="1" applyFill="1" applyBorder="1" applyAlignment="1">
      <alignment vertical="center"/>
    </xf>
    <xf numFmtId="164" fontId="3" fillId="0" borderId="25" xfId="0" applyNumberFormat="1" applyFont="1" applyBorder="1" applyAlignment="1" applyProtection="1">
      <alignment horizontal="center" vertical="center" wrapText="1"/>
      <protection locked="0"/>
    </xf>
    <xf numFmtId="164" fontId="3" fillId="0" borderId="30" xfId="0" applyNumberFormat="1"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6" fillId="0" borderId="16"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36" fillId="0" borderId="2" xfId="0" applyFont="1" applyBorder="1" applyAlignment="1">
      <alignment horizontal="center" vertical="distributed"/>
    </xf>
    <xf numFmtId="0" fontId="36" fillId="0" borderId="3" xfId="0" applyFont="1" applyBorder="1" applyAlignment="1">
      <alignment horizontal="center" vertical="distributed"/>
    </xf>
    <xf numFmtId="0" fontId="5" fillId="0" borderId="4" xfId="0" applyFont="1" applyBorder="1" applyAlignment="1">
      <alignment horizontal="center" vertical="center"/>
    </xf>
    <xf numFmtId="0" fontId="5" fillId="0" borderId="5" xfId="0" applyFont="1" applyBorder="1" applyAlignment="1">
      <alignment horizontal="center" vertical="center"/>
    </xf>
    <xf numFmtId="14" fontId="6" fillId="0" borderId="6" xfId="0" applyNumberFormat="1" applyFont="1" applyBorder="1" applyAlignment="1" applyProtection="1">
      <alignment horizontal="center" vertical="center"/>
      <protection locked="0"/>
    </xf>
    <xf numFmtId="14" fontId="6" fillId="0" borderId="7" xfId="0" applyNumberFormat="1" applyFont="1" applyBorder="1" applyAlignment="1" applyProtection="1">
      <alignment horizontal="center" vertical="center"/>
      <protection locked="0"/>
    </xf>
    <xf numFmtId="14" fontId="6" fillId="0" borderId="8" xfId="0" applyNumberFormat="1" applyFont="1" applyBorder="1" applyAlignment="1" applyProtection="1">
      <alignment horizontal="center" vertical="center"/>
      <protection locked="0"/>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36" xfId="0" applyFont="1" applyBorder="1" applyAlignment="1">
      <alignment horizontal="center"/>
    </xf>
    <xf numFmtId="0" fontId="6" fillId="0" borderId="0" xfId="0" applyFont="1" applyAlignment="1">
      <alignment horizontal="center"/>
    </xf>
    <xf numFmtId="0" fontId="3" fillId="0" borderId="0" xfId="0" applyFont="1" applyAlignment="1">
      <alignment horizontal="center"/>
    </xf>
    <xf numFmtId="0" fontId="0" fillId="0" borderId="18" xfId="0" applyBorder="1" applyAlignment="1">
      <alignment horizontal="center"/>
    </xf>
    <xf numFmtId="0" fontId="0" fillId="0" borderId="20" xfId="0" applyBorder="1" applyAlignment="1">
      <alignment horizontal="center"/>
    </xf>
    <xf numFmtId="0" fontId="0" fillId="0" borderId="0" xfId="0" applyAlignment="1">
      <alignment horizontal="left" vertical="center"/>
    </xf>
    <xf numFmtId="0" fontId="5" fillId="0" borderId="0" xfId="0" applyFont="1" applyAlignment="1">
      <alignment horizontal="center" vertical="center" wrapText="1"/>
    </xf>
    <xf numFmtId="0" fontId="0" fillId="0" borderId="20" xfId="0" quotePrefix="1" applyBorder="1" applyAlignment="1">
      <alignment horizontal="center"/>
    </xf>
    <xf numFmtId="3" fontId="6" fillId="0" borderId="0" xfId="0" applyNumberFormat="1" applyFont="1" applyAlignment="1">
      <alignment horizontal="center" wrapText="1"/>
    </xf>
    <xf numFmtId="0" fontId="6" fillId="0" borderId="0" xfId="0" applyFont="1" applyAlignment="1">
      <alignment horizontal="center" wrapText="1"/>
    </xf>
    <xf numFmtId="0" fontId="35" fillId="0" borderId="24" xfId="0" applyFont="1" applyBorder="1" applyAlignment="1">
      <alignment horizontal="center" vertical="center"/>
    </xf>
    <xf numFmtId="0" fontId="38" fillId="0" borderId="24" xfId="0" applyFont="1" applyBorder="1" applyAlignment="1">
      <alignment horizontal="center" vertical="center"/>
    </xf>
    <xf numFmtId="0" fontId="5" fillId="0" borderId="16"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xf>
    <xf numFmtId="0" fontId="5" fillId="0" borderId="0" xfId="0" applyFont="1" applyAlignment="1">
      <alignment horizontal="left" vertical="center"/>
    </xf>
    <xf numFmtId="0" fontId="22" fillId="0" borderId="22" xfId="0" applyFont="1" applyBorder="1" applyAlignment="1">
      <alignment horizontal="left" vertical="center" wrapText="1"/>
    </xf>
    <xf numFmtId="0" fontId="22" fillId="0" borderId="19" xfId="0" applyFont="1" applyBorder="1" applyAlignment="1">
      <alignment horizontal="left" vertical="center" wrapText="1"/>
    </xf>
    <xf numFmtId="0" fontId="6" fillId="0" borderId="24" xfId="0" applyFont="1" applyBorder="1" applyAlignment="1" applyProtection="1">
      <alignment horizontal="center" vertical="center" wrapText="1"/>
      <protection locked="0"/>
    </xf>
    <xf numFmtId="0" fontId="3" fillId="0" borderId="23"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164" fontId="3" fillId="0" borderId="23" xfId="0" applyNumberFormat="1" applyFont="1" applyBorder="1" applyAlignment="1">
      <alignment horizontal="center" vertical="center" wrapText="1"/>
    </xf>
    <xf numFmtId="164" fontId="3" fillId="0" borderId="21" xfId="0" applyNumberFormat="1" applyFont="1" applyBorder="1" applyAlignment="1">
      <alignment horizontal="center" vertical="center" wrapText="1"/>
    </xf>
    <xf numFmtId="164" fontId="1" fillId="5" borderId="23" xfId="1" applyNumberFormat="1" applyFont="1" applyFill="1" applyBorder="1" applyAlignment="1" applyProtection="1">
      <alignment horizontal="center" vertical="center"/>
    </xf>
    <xf numFmtId="164" fontId="1" fillId="5" borderId="21" xfId="1" applyNumberFormat="1" applyFont="1" applyFill="1" applyBorder="1" applyAlignment="1" applyProtection="1">
      <alignment horizontal="center" vertical="center"/>
    </xf>
    <xf numFmtId="49" fontId="8" fillId="0" borderId="0" xfId="0" applyNumberFormat="1" applyFont="1" applyAlignment="1">
      <alignment horizontal="center" vertical="center" wrapText="1"/>
    </xf>
    <xf numFmtId="49" fontId="8" fillId="0" borderId="0" xfId="0" applyNumberFormat="1" applyFont="1" applyAlignment="1">
      <alignment horizontal="center" wrapText="1"/>
    </xf>
    <xf numFmtId="0" fontId="8" fillId="0" borderId="33" xfId="0" applyFont="1" applyBorder="1" applyAlignment="1">
      <alignment horizont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30" xfId="0" applyFont="1" applyBorder="1" applyAlignment="1">
      <alignment horizontal="center" vertical="center" wrapText="1"/>
    </xf>
    <xf numFmtId="0" fontId="39" fillId="0" borderId="24" xfId="0" applyFont="1" applyBorder="1" applyAlignment="1">
      <alignment horizontal="center"/>
    </xf>
    <xf numFmtId="0" fontId="39" fillId="0" borderId="25" xfId="0" applyFont="1" applyBorder="1" applyAlignment="1">
      <alignment horizontal="center" vertical="center" wrapText="1"/>
    </xf>
    <xf numFmtId="0" fontId="39" fillId="0" borderId="26" xfId="0" applyFont="1" applyBorder="1" applyAlignment="1">
      <alignment horizontal="center" vertical="center" wrapText="1"/>
    </xf>
    <xf numFmtId="0" fontId="39" fillId="0" borderId="30" xfId="0" applyFont="1" applyBorder="1" applyAlignment="1">
      <alignment horizontal="center" vertical="center" wrapText="1"/>
    </xf>
  </cellXfs>
  <cellStyles count="4">
    <cellStyle name="Comma" xfId="1" builtinId="3"/>
    <cellStyle name="Currency" xfId="3" builtinId="4"/>
    <cellStyle name="Hyperlink" xfId="2" builtinId="8"/>
    <cellStyle name="Normal" xfId="0" builtinId="0"/>
  </cellStyles>
  <dxfs count="17">
    <dxf>
      <fill>
        <patternFill>
          <bgColor theme="2"/>
        </patternFill>
      </fill>
    </dxf>
    <dxf>
      <fill>
        <patternFill>
          <bgColor theme="2"/>
        </patternFill>
      </fill>
    </dxf>
    <dxf>
      <fill>
        <patternFill>
          <bgColor theme="5" tint="0.59996337778862885"/>
        </patternFill>
      </fill>
    </dxf>
    <dxf>
      <fill>
        <patternFill>
          <bgColor theme="4" tint="0.79998168889431442"/>
        </patternFill>
      </fill>
    </dxf>
    <dxf>
      <fill>
        <patternFill>
          <bgColor theme="5" tint="0.59996337778862885"/>
        </patternFill>
      </fill>
    </dxf>
    <dxf>
      <fill>
        <patternFill>
          <bgColor theme="4" tint="0.79998168889431442"/>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5" tint="0.59996337778862885"/>
        </patternFill>
      </fill>
    </dxf>
    <dxf>
      <fill>
        <patternFill>
          <bgColor theme="2"/>
        </patternFill>
      </fill>
    </dxf>
    <dxf>
      <fill>
        <patternFill>
          <bgColor theme="4" tint="0.79998168889431442"/>
        </patternFill>
      </fill>
    </dxf>
    <dxf>
      <fill>
        <patternFill>
          <bgColor theme="5" tint="0.59996337778862885"/>
        </patternFill>
      </fill>
    </dxf>
    <dxf>
      <fill>
        <patternFill>
          <bgColor theme="2"/>
        </patternFill>
      </fill>
    </dxf>
    <dxf>
      <fill>
        <patternFill>
          <bgColor theme="4" tint="0.79998168889431442"/>
        </patternFill>
      </fill>
    </dxf>
    <dxf>
      <fill>
        <patternFill>
          <bgColor theme="2"/>
        </patternFill>
      </fill>
    </dxf>
  </dxfs>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9</xdr:col>
      <xdr:colOff>269875</xdr:colOff>
      <xdr:row>44</xdr:row>
      <xdr:rowOff>116205</xdr:rowOff>
    </xdr:from>
    <xdr:to>
      <xdr:col>14</xdr:col>
      <xdr:colOff>245745</xdr:colOff>
      <xdr:row>44</xdr:row>
      <xdr:rowOff>127000</xdr:rowOff>
    </xdr:to>
    <xdr:cxnSp macro="">
      <xdr:nvCxnSpPr>
        <xdr:cNvPr id="2" name="Straight Arrow Connector 1">
          <a:extLst>
            <a:ext uri="{FF2B5EF4-FFF2-40B4-BE49-F238E27FC236}">
              <a16:creationId xmlns:a16="http://schemas.microsoft.com/office/drawing/2014/main" id="{00000000-0008-0000-0100-000002000000}"/>
            </a:ext>
          </a:extLst>
        </xdr:cNvPr>
        <xdr:cNvCxnSpPr/>
      </xdr:nvCxnSpPr>
      <xdr:spPr>
        <a:xfrm flipV="1">
          <a:off x="5556250" y="22642830"/>
          <a:ext cx="4928870" cy="1079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45</xdr:row>
      <xdr:rowOff>142875</xdr:rowOff>
    </xdr:from>
    <xdr:to>
      <xdr:col>14</xdr:col>
      <xdr:colOff>258445</xdr:colOff>
      <xdr:row>45</xdr:row>
      <xdr:rowOff>143980</xdr:rowOff>
    </xdr:to>
    <xdr:cxnSp macro="">
      <xdr:nvCxnSpPr>
        <xdr:cNvPr id="3" name="Straight Arrow Connector 2">
          <a:extLst>
            <a:ext uri="{FF2B5EF4-FFF2-40B4-BE49-F238E27FC236}">
              <a16:creationId xmlns:a16="http://schemas.microsoft.com/office/drawing/2014/main" id="{00000000-0008-0000-0100-000003000000}"/>
            </a:ext>
          </a:extLst>
        </xdr:cNvPr>
        <xdr:cNvCxnSpPr/>
      </xdr:nvCxnSpPr>
      <xdr:spPr>
        <a:xfrm>
          <a:off x="7572375" y="22987000"/>
          <a:ext cx="2925445" cy="1105"/>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793750</xdr:colOff>
      <xdr:row>46</xdr:row>
      <xdr:rowOff>120653</xdr:rowOff>
    </xdr:from>
    <xdr:to>
      <xdr:col>14</xdr:col>
      <xdr:colOff>245749</xdr:colOff>
      <xdr:row>46</xdr:row>
      <xdr:rowOff>127000</xdr:rowOff>
    </xdr:to>
    <xdr:cxnSp macro="">
      <xdr:nvCxnSpPr>
        <xdr:cNvPr id="4" name="Straight Arrow Connector 3">
          <a:extLst>
            <a:ext uri="{FF2B5EF4-FFF2-40B4-BE49-F238E27FC236}">
              <a16:creationId xmlns:a16="http://schemas.microsoft.com/office/drawing/2014/main" id="{00000000-0008-0000-0100-000004000000}"/>
            </a:ext>
          </a:extLst>
        </xdr:cNvPr>
        <xdr:cNvCxnSpPr/>
      </xdr:nvCxnSpPr>
      <xdr:spPr>
        <a:xfrm flipV="1">
          <a:off x="5143500" y="23298153"/>
          <a:ext cx="5341624" cy="634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714375</xdr:colOff>
      <xdr:row>47</xdr:row>
      <xdr:rowOff>114303</xdr:rowOff>
    </xdr:from>
    <xdr:to>
      <xdr:col>14</xdr:col>
      <xdr:colOff>245763</xdr:colOff>
      <xdr:row>47</xdr:row>
      <xdr:rowOff>127000</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V="1">
          <a:off x="6921500" y="23593428"/>
          <a:ext cx="3563638" cy="12697"/>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301625</xdr:colOff>
      <xdr:row>48</xdr:row>
      <xdr:rowOff>120655</xdr:rowOff>
    </xdr:from>
    <xdr:to>
      <xdr:col>14</xdr:col>
      <xdr:colOff>258463</xdr:colOff>
      <xdr:row>48</xdr:row>
      <xdr:rowOff>142875</xdr:rowOff>
    </xdr:to>
    <xdr:cxnSp macro="">
      <xdr:nvCxnSpPr>
        <xdr:cNvPr id="6" name="Straight Arrow Connector 5">
          <a:extLst>
            <a:ext uri="{FF2B5EF4-FFF2-40B4-BE49-F238E27FC236}">
              <a16:creationId xmlns:a16="http://schemas.microsoft.com/office/drawing/2014/main" id="{00000000-0008-0000-0100-000006000000}"/>
            </a:ext>
          </a:extLst>
        </xdr:cNvPr>
        <xdr:cNvCxnSpPr/>
      </xdr:nvCxnSpPr>
      <xdr:spPr>
        <a:xfrm flipV="1">
          <a:off x="7572375" y="23933155"/>
          <a:ext cx="2925463" cy="22220"/>
        </a:xfrm>
        <a:prstGeom prst="straightConnector1">
          <a:avLst/>
        </a:prstGeom>
        <a:noFill/>
        <a:ln w="12700" cap="flat" cmpd="sng" algn="ctr">
          <a:solidFill>
            <a:srgbClr val="FF0000"/>
          </a:solidFill>
          <a:prstDash val="solid"/>
          <a:tailEnd type="arrow"/>
        </a:ln>
        <a:effectLst/>
      </xdr:spPr>
    </xdr:cxnSp>
    <xdr:clientData/>
  </xdr:twoCellAnchor>
  <xdr:twoCellAnchor>
    <xdr:from>
      <xdr:col>5</xdr:col>
      <xdr:colOff>513521</xdr:colOff>
      <xdr:row>34</xdr:row>
      <xdr:rowOff>273326</xdr:rowOff>
    </xdr:from>
    <xdr:to>
      <xdr:col>8</xdr:col>
      <xdr:colOff>472107</xdr:colOff>
      <xdr:row>34</xdr:row>
      <xdr:rowOff>273328</xdr:rowOff>
    </xdr:to>
    <xdr:cxnSp macro="">
      <xdr:nvCxnSpPr>
        <xdr:cNvPr id="7" name="Straight Arrow Connector 6">
          <a:extLst>
            <a:ext uri="{FF2B5EF4-FFF2-40B4-BE49-F238E27FC236}">
              <a16:creationId xmlns:a16="http://schemas.microsoft.com/office/drawing/2014/main" id="{00000000-0008-0000-0100-000007000000}"/>
            </a:ext>
          </a:extLst>
        </xdr:cNvPr>
        <xdr:cNvCxnSpPr/>
      </xdr:nvCxnSpPr>
      <xdr:spPr>
        <a:xfrm>
          <a:off x="3190046" y="13935351"/>
          <a:ext cx="1146036" cy="2"/>
        </a:xfrm>
        <a:prstGeom prst="straightConnector1">
          <a:avLst/>
        </a:prstGeom>
        <a:ln w="127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5</xdr:col>
      <xdr:colOff>95250</xdr:colOff>
      <xdr:row>53</xdr:row>
      <xdr:rowOff>400050</xdr:rowOff>
    </xdr:from>
    <xdr:to>
      <xdr:col>7</xdr:col>
      <xdr:colOff>17145</xdr:colOff>
      <xdr:row>53</xdr:row>
      <xdr:rowOff>400050</xdr:rowOff>
    </xdr:to>
    <xdr:cxnSp macro="">
      <xdr:nvCxnSpPr>
        <xdr:cNvPr id="8" name="Straight Arrow Connector 7">
          <a:extLst>
            <a:ext uri="{FF2B5EF4-FFF2-40B4-BE49-F238E27FC236}">
              <a16:creationId xmlns:a16="http://schemas.microsoft.com/office/drawing/2014/main" id="{1089EFFF-3A86-4A9B-81B6-8211BB8A8FC9}"/>
            </a:ext>
          </a:extLst>
        </xdr:cNvPr>
        <xdr:cNvCxnSpPr/>
      </xdr:nvCxnSpPr>
      <xdr:spPr>
        <a:xfrm>
          <a:off x="3267075" y="28470225"/>
          <a:ext cx="1064895" cy="0"/>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10</xdr:col>
          <xdr:colOff>304800</xdr:colOff>
          <xdr:row>87</xdr:row>
          <xdr:rowOff>57150</xdr:rowOff>
        </xdr:from>
        <xdr:to>
          <xdr:col>10</xdr:col>
          <xdr:colOff>609600</xdr:colOff>
          <xdr:row>87</xdr:row>
          <xdr:rowOff>285750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311150</xdr:colOff>
          <xdr:row>82</xdr:row>
          <xdr:rowOff>19050</xdr:rowOff>
        </xdr:from>
        <xdr:to>
          <xdr:col>10</xdr:col>
          <xdr:colOff>622300</xdr:colOff>
          <xdr:row>82</xdr:row>
          <xdr:rowOff>260350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83</xdr:row>
          <xdr:rowOff>95250</xdr:rowOff>
        </xdr:from>
        <xdr:to>
          <xdr:col>10</xdr:col>
          <xdr:colOff>609600</xdr:colOff>
          <xdr:row>83</xdr:row>
          <xdr:rowOff>323850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84</xdr:row>
          <xdr:rowOff>76200</xdr:rowOff>
        </xdr:from>
        <xdr:to>
          <xdr:col>10</xdr:col>
          <xdr:colOff>609600</xdr:colOff>
          <xdr:row>84</xdr:row>
          <xdr:rowOff>304800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86</xdr:row>
          <xdr:rowOff>57150</xdr:rowOff>
        </xdr:from>
        <xdr:to>
          <xdr:col>10</xdr:col>
          <xdr:colOff>609600</xdr:colOff>
          <xdr:row>86</xdr:row>
          <xdr:rowOff>285750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85</xdr:row>
          <xdr:rowOff>50800</xdr:rowOff>
        </xdr:from>
        <xdr:to>
          <xdr:col>10</xdr:col>
          <xdr:colOff>609600</xdr:colOff>
          <xdr:row>85</xdr:row>
          <xdr:rowOff>279400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88</xdr:row>
          <xdr:rowOff>50800</xdr:rowOff>
        </xdr:from>
        <xdr:to>
          <xdr:col>10</xdr:col>
          <xdr:colOff>609600</xdr:colOff>
          <xdr:row>88</xdr:row>
          <xdr:rowOff>279400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89</xdr:row>
          <xdr:rowOff>50800</xdr:rowOff>
        </xdr:from>
        <xdr:to>
          <xdr:col>10</xdr:col>
          <xdr:colOff>609600</xdr:colOff>
          <xdr:row>89</xdr:row>
          <xdr:rowOff>279400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90</xdr:row>
          <xdr:rowOff>69850</xdr:rowOff>
        </xdr:from>
        <xdr:to>
          <xdr:col>10</xdr:col>
          <xdr:colOff>609600</xdr:colOff>
          <xdr:row>90</xdr:row>
          <xdr:rowOff>298450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91</xdr:row>
          <xdr:rowOff>57150</xdr:rowOff>
        </xdr:from>
        <xdr:to>
          <xdr:col>10</xdr:col>
          <xdr:colOff>609600</xdr:colOff>
          <xdr:row>91</xdr:row>
          <xdr:rowOff>285750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92</xdr:row>
          <xdr:rowOff>57150</xdr:rowOff>
        </xdr:from>
        <xdr:to>
          <xdr:col>10</xdr:col>
          <xdr:colOff>609600</xdr:colOff>
          <xdr:row>92</xdr:row>
          <xdr:rowOff>285750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93</xdr:row>
          <xdr:rowOff>31750</xdr:rowOff>
        </xdr:from>
        <xdr:to>
          <xdr:col>10</xdr:col>
          <xdr:colOff>609600</xdr:colOff>
          <xdr:row>93</xdr:row>
          <xdr:rowOff>260350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159</xdr:row>
          <xdr:rowOff>50800</xdr:rowOff>
        </xdr:from>
        <xdr:to>
          <xdr:col>6</xdr:col>
          <xdr:colOff>412750</xdr:colOff>
          <xdr:row>159</xdr:row>
          <xdr:rowOff>279400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161</xdr:row>
          <xdr:rowOff>0</xdr:rowOff>
        </xdr:from>
        <xdr:to>
          <xdr:col>6</xdr:col>
          <xdr:colOff>400050</xdr:colOff>
          <xdr:row>161</xdr:row>
          <xdr:rowOff>222250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163</xdr:row>
          <xdr:rowOff>19050</xdr:rowOff>
        </xdr:from>
        <xdr:to>
          <xdr:col>6</xdr:col>
          <xdr:colOff>400050</xdr:colOff>
          <xdr:row>163</xdr:row>
          <xdr:rowOff>247650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165</xdr:row>
          <xdr:rowOff>12700</xdr:rowOff>
        </xdr:from>
        <xdr:to>
          <xdr:col>6</xdr:col>
          <xdr:colOff>393700</xdr:colOff>
          <xdr:row>165</xdr:row>
          <xdr:rowOff>241300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166</xdr:row>
          <xdr:rowOff>488950</xdr:rowOff>
        </xdr:from>
        <xdr:to>
          <xdr:col>6</xdr:col>
          <xdr:colOff>393700</xdr:colOff>
          <xdr:row>167</xdr:row>
          <xdr:rowOff>222250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157</xdr:row>
          <xdr:rowOff>50800</xdr:rowOff>
        </xdr:from>
        <xdr:to>
          <xdr:col>15</xdr:col>
          <xdr:colOff>660400</xdr:colOff>
          <xdr:row>158</xdr:row>
          <xdr:rowOff>63500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159</xdr:row>
          <xdr:rowOff>38100</xdr:rowOff>
        </xdr:from>
        <xdr:to>
          <xdr:col>15</xdr:col>
          <xdr:colOff>660400</xdr:colOff>
          <xdr:row>159</xdr:row>
          <xdr:rowOff>266700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161</xdr:row>
          <xdr:rowOff>38100</xdr:rowOff>
        </xdr:from>
        <xdr:to>
          <xdr:col>15</xdr:col>
          <xdr:colOff>660400</xdr:colOff>
          <xdr:row>161</xdr:row>
          <xdr:rowOff>260350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163</xdr:row>
          <xdr:rowOff>50800</xdr:rowOff>
        </xdr:from>
        <xdr:to>
          <xdr:col>15</xdr:col>
          <xdr:colOff>660400</xdr:colOff>
          <xdr:row>163</xdr:row>
          <xdr:rowOff>279400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165</xdr:row>
          <xdr:rowOff>50800</xdr:rowOff>
        </xdr:from>
        <xdr:to>
          <xdr:col>15</xdr:col>
          <xdr:colOff>660400</xdr:colOff>
          <xdr:row>165</xdr:row>
          <xdr:rowOff>279400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355600</xdr:colOff>
          <xdr:row>167</xdr:row>
          <xdr:rowOff>31750</xdr:rowOff>
        </xdr:from>
        <xdr:to>
          <xdr:col>15</xdr:col>
          <xdr:colOff>660400</xdr:colOff>
          <xdr:row>167</xdr:row>
          <xdr:rowOff>260350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85725</xdr:colOff>
      <xdr:row>56</xdr:row>
      <xdr:rowOff>533400</xdr:rowOff>
    </xdr:from>
    <xdr:to>
      <xdr:col>7</xdr:col>
      <xdr:colOff>10795</xdr:colOff>
      <xdr:row>56</xdr:row>
      <xdr:rowOff>533400</xdr:rowOff>
    </xdr:to>
    <xdr:cxnSp macro="">
      <xdr:nvCxnSpPr>
        <xdr:cNvPr id="9" name="Straight Arrow Connector 8">
          <a:extLst>
            <a:ext uri="{FF2B5EF4-FFF2-40B4-BE49-F238E27FC236}">
              <a16:creationId xmlns:a16="http://schemas.microsoft.com/office/drawing/2014/main" id="{22670204-C6D7-40DF-AA99-3AB060C34EF6}"/>
            </a:ext>
          </a:extLst>
        </xdr:cNvPr>
        <xdr:cNvCxnSpPr/>
      </xdr:nvCxnSpPr>
      <xdr:spPr>
        <a:xfrm>
          <a:off x="3257550" y="32756475"/>
          <a:ext cx="1068070" cy="0"/>
        </a:xfrm>
        <a:prstGeom prst="straightConnector1">
          <a:avLst/>
        </a:prstGeom>
        <a:ln w="127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314902</xdr:colOff>
      <xdr:row>49</xdr:row>
      <xdr:rowOff>363682</xdr:rowOff>
    </xdr:from>
    <xdr:to>
      <xdr:col>14</xdr:col>
      <xdr:colOff>265390</xdr:colOff>
      <xdr:row>49</xdr:row>
      <xdr:rowOff>385902</xdr:rowOff>
    </xdr:to>
    <xdr:cxnSp macro="">
      <xdr:nvCxnSpPr>
        <xdr:cNvPr id="10" name="Straight Arrow Connector 9">
          <a:extLst>
            <a:ext uri="{FF2B5EF4-FFF2-40B4-BE49-F238E27FC236}">
              <a16:creationId xmlns:a16="http://schemas.microsoft.com/office/drawing/2014/main" id="{C1EA24E2-ED18-434A-9D92-C3DE2B773E97}"/>
            </a:ext>
          </a:extLst>
        </xdr:cNvPr>
        <xdr:cNvCxnSpPr/>
      </xdr:nvCxnSpPr>
      <xdr:spPr>
        <a:xfrm flipV="1">
          <a:off x="7588538" y="27137591"/>
          <a:ext cx="2929216" cy="22220"/>
        </a:xfrm>
        <a:prstGeom prst="straightConnector1">
          <a:avLst/>
        </a:prstGeom>
        <a:noFill/>
        <a:ln w="12700" cap="flat" cmpd="sng" algn="ctr">
          <a:solidFill>
            <a:srgbClr val="FF0000"/>
          </a:solidFill>
          <a:prstDash val="solid"/>
          <a:tailEnd type="arrow"/>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s://easternpennsylvaniaumc.freshdesk.com/support/solutions/articles/153000245755-epa-clergy-compensation-guide"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9ABD0-4B30-4982-BF5D-DA66C42A909C}">
  <sheetPr codeName="Sheet1"/>
  <dimension ref="A1:AT6"/>
  <sheetViews>
    <sheetView workbookViewId="0">
      <selection activeCell="A2" sqref="A2"/>
    </sheetView>
  </sheetViews>
  <sheetFormatPr defaultRowHeight="14.5" x14ac:dyDescent="0.35"/>
  <cols>
    <col min="1" max="1" width="12.26953125" bestFit="1" customWidth="1"/>
    <col min="2" max="2" width="18.08984375" bestFit="1" customWidth="1"/>
    <col min="3" max="3" width="9.81640625" customWidth="1"/>
    <col min="4" max="4" width="20.81640625" customWidth="1"/>
    <col min="5" max="5" width="13.54296875" customWidth="1"/>
    <col min="6" max="6" width="29.81640625" customWidth="1"/>
    <col min="7" max="7" width="31.6328125" customWidth="1"/>
    <col min="8" max="8" width="13.54296875" bestFit="1" customWidth="1"/>
    <col min="9" max="9" width="14.7265625" customWidth="1"/>
    <col min="10" max="10" width="23.7265625" bestFit="1" customWidth="1"/>
    <col min="11" max="11" width="5.6328125" bestFit="1" customWidth="1"/>
    <col min="12" max="12" width="20.6328125" bestFit="1" customWidth="1"/>
    <col min="13" max="13" width="16.1796875" bestFit="1" customWidth="1"/>
    <col min="14" max="14" width="16.7265625" bestFit="1" customWidth="1"/>
    <col min="15" max="15" width="20.81640625" customWidth="1"/>
    <col min="16" max="16" width="15.08984375" bestFit="1" customWidth="1"/>
    <col min="17" max="17" width="15.6328125" bestFit="1" customWidth="1"/>
    <col min="18" max="18" width="25.90625" customWidth="1"/>
    <col min="19" max="19" width="15.81640625" bestFit="1" customWidth="1"/>
    <col min="20" max="20" width="26.453125" bestFit="1" customWidth="1"/>
    <col min="21" max="21" width="17.26953125" bestFit="1" customWidth="1"/>
    <col min="22" max="22" width="23.6328125" bestFit="1" customWidth="1"/>
    <col min="23" max="23" width="10.1796875" bestFit="1" customWidth="1"/>
    <col min="24" max="24" width="17.1796875" bestFit="1" customWidth="1"/>
    <col min="25" max="25" width="21.81640625" bestFit="1" customWidth="1"/>
    <col min="26" max="26" width="17.6328125" bestFit="1" customWidth="1"/>
    <col min="27" max="27" width="14.26953125" customWidth="1"/>
    <col min="28" max="28" width="17.90625" bestFit="1" customWidth="1"/>
    <col min="29" max="29" width="13" bestFit="1" customWidth="1"/>
    <col min="30" max="30" width="12.36328125" bestFit="1" customWidth="1"/>
    <col min="31" max="31" width="23" bestFit="1" customWidth="1"/>
    <col min="32" max="32" width="17" bestFit="1" customWidth="1"/>
    <col min="33" max="33" width="15.81640625" bestFit="1" customWidth="1"/>
    <col min="34" max="35" width="16.90625" customWidth="1"/>
    <col min="36" max="36" width="14.26953125" bestFit="1" customWidth="1"/>
    <col min="37" max="37" width="9.54296875" bestFit="1" customWidth="1"/>
    <col min="38" max="38" width="14.36328125" bestFit="1" customWidth="1"/>
    <col min="39" max="39" width="14.36328125" customWidth="1"/>
    <col min="40" max="40" width="16.36328125" bestFit="1" customWidth="1"/>
    <col min="41" max="41" width="22.36328125" bestFit="1" customWidth="1"/>
    <col min="42" max="42" width="17.7265625" bestFit="1" customWidth="1"/>
    <col min="43" max="43" width="24.81640625" bestFit="1" customWidth="1"/>
    <col min="44" max="44" width="16.36328125" bestFit="1" customWidth="1"/>
    <col min="45" max="45" width="11" bestFit="1" customWidth="1"/>
    <col min="46" max="46" width="10.453125" bestFit="1" customWidth="1"/>
  </cols>
  <sheetData>
    <row r="1" spans="1:46" x14ac:dyDescent="0.35">
      <c r="A1" t="s">
        <v>0</v>
      </c>
      <c r="B1" t="s">
        <v>79</v>
      </c>
      <c r="C1" t="s">
        <v>1</v>
      </c>
      <c r="D1" t="s">
        <v>2</v>
      </c>
      <c r="E1" t="s">
        <v>3</v>
      </c>
      <c r="F1" t="s">
        <v>4</v>
      </c>
      <c r="G1" t="s">
        <v>5</v>
      </c>
      <c r="H1" t="s">
        <v>6</v>
      </c>
      <c r="I1" t="s">
        <v>105</v>
      </c>
      <c r="J1" t="s">
        <v>80</v>
      </c>
      <c r="K1" t="s">
        <v>7</v>
      </c>
      <c r="L1" t="s">
        <v>54</v>
      </c>
      <c r="M1" t="s">
        <v>55</v>
      </c>
      <c r="N1" t="s">
        <v>56</v>
      </c>
      <c r="O1" t="s">
        <v>563</v>
      </c>
      <c r="P1" t="s">
        <v>57</v>
      </c>
      <c r="Q1" t="s">
        <v>58</v>
      </c>
      <c r="R1" t="s">
        <v>59</v>
      </c>
      <c r="S1" t="s">
        <v>564</v>
      </c>
      <c r="T1" t="s">
        <v>60</v>
      </c>
      <c r="U1" t="s">
        <v>61</v>
      </c>
      <c r="V1" t="s">
        <v>62</v>
      </c>
      <c r="W1" t="s">
        <v>63</v>
      </c>
      <c r="X1" t="s">
        <v>64</v>
      </c>
      <c r="Y1" t="s">
        <v>65</v>
      </c>
      <c r="Z1" t="s">
        <v>66</v>
      </c>
      <c r="AA1" t="s">
        <v>565</v>
      </c>
      <c r="AB1" t="s">
        <v>67</v>
      </c>
      <c r="AC1" t="s">
        <v>68</v>
      </c>
      <c r="AD1" t="s">
        <v>69</v>
      </c>
      <c r="AE1" t="s">
        <v>70</v>
      </c>
      <c r="AF1" t="s">
        <v>71</v>
      </c>
      <c r="AG1" t="s">
        <v>566</v>
      </c>
      <c r="AH1" t="s">
        <v>567</v>
      </c>
      <c r="AI1" t="s">
        <v>568</v>
      </c>
      <c r="AJ1" t="s">
        <v>72</v>
      </c>
      <c r="AK1" t="s">
        <v>569</v>
      </c>
      <c r="AL1" t="s">
        <v>73</v>
      </c>
      <c r="AM1" t="s">
        <v>570</v>
      </c>
      <c r="AN1" t="s">
        <v>74</v>
      </c>
      <c r="AO1" t="s">
        <v>75</v>
      </c>
      <c r="AP1" t="s">
        <v>76</v>
      </c>
      <c r="AQ1" t="s">
        <v>571</v>
      </c>
      <c r="AR1" t="s">
        <v>572</v>
      </c>
      <c r="AS1" t="s">
        <v>573</v>
      </c>
      <c r="AT1" t="s">
        <v>574</v>
      </c>
    </row>
    <row r="2" spans="1:46" x14ac:dyDescent="0.35">
      <c r="A2" s="10" t="str">
        <f>IF(AP2="","",'Comp Form'!A2)</f>
        <v/>
      </c>
      <c r="B2" s="10" t="str">
        <f>IF(AP2&lt;&gt;"","Eastern Pennsylvania","")</f>
        <v/>
      </c>
      <c r="C2" t="str">
        <f>IF(AP2="","",'Comp Form'!L2)</f>
        <v/>
      </c>
      <c r="D2" t="str">
        <f>IF(AP2="","",'Comp Form'!A4)</f>
        <v/>
      </c>
      <c r="E2" t="str">
        <f>IF(AP2="","",'Comp Form'!F4)</f>
        <v/>
      </c>
      <c r="F2" t="str">
        <f>IF(AP2="","",'Comp Form'!K4)</f>
        <v/>
      </c>
      <c r="G2" t="str">
        <f>IF(AP2="","",'Comp Form'!C7)</f>
        <v/>
      </c>
      <c r="H2" t="str">
        <f>IF(AP2="","",'Comp Form'!C8)</f>
        <v/>
      </c>
      <c r="I2" t="str">
        <f>IF(OR('Comp Form'!C9="",'Comp Form'!C9="Composite Rate"),"",'Comp Form'!C9)</f>
        <v/>
      </c>
      <c r="J2" t="str">
        <f>IF(OR('Comp Form'!C10="",'Comp Form'!C10="Select One - Dropdown"),"",'Comp Form'!C10)</f>
        <v/>
      </c>
      <c r="K2" t="str">
        <f>IF('Comp Form'!J13&lt;=0,"",'Comp Form'!J13)</f>
        <v/>
      </c>
      <c r="L2" t="str">
        <f>IF('Comp Form'!J17&lt;=0,"",'Comp Form'!J17)</f>
        <v/>
      </c>
      <c r="M2" t="str">
        <f>IF('Comp Form'!J18&lt;=0,"",'Comp Form'!J18)</f>
        <v/>
      </c>
      <c r="N2" t="str">
        <f>IF('Comp Form'!J19&lt;=0,"",'Comp Form'!J19)</f>
        <v/>
      </c>
      <c r="O2" t="str">
        <f>IF('Comp Form'!J21&lt;=0,"",'Comp Form'!J21)</f>
        <v/>
      </c>
      <c r="P2" t="str">
        <f>IF('Comp Form'!J22&lt;=0,"",'Comp Form'!J22)</f>
        <v/>
      </c>
      <c r="Q2" t="str">
        <f>IF('Comp Form'!J25&lt;=0,"",'Comp Form'!J25)</f>
        <v/>
      </c>
      <c r="R2" t="str">
        <f>IF('Comp Form'!J26&lt;=0,"",'Comp Form'!J26)</f>
        <v/>
      </c>
      <c r="S2" t="str">
        <f>IF('Comp Form'!J28&lt;=0,"",'Comp Form'!J28)</f>
        <v/>
      </c>
      <c r="T2" t="str">
        <f>IF('Comp Form'!J29&lt;=0,"",'Comp Form'!J29)</f>
        <v/>
      </c>
      <c r="U2" t="str">
        <f>IF('Comp Form'!J30&lt;=0,"",'Comp Form'!J30)</f>
        <v/>
      </c>
      <c r="V2" t="str">
        <f>IF('Comp Form'!J31&lt;=0,"",'Comp Form'!J31)</f>
        <v/>
      </c>
      <c r="W2" t="str">
        <f>IF('Comp Form'!J32&lt;=0,"",'Comp Form'!J32)</f>
        <v/>
      </c>
      <c r="X2" t="str">
        <f>IF(AND('Comp Form'!J35&gt;0,G2&lt;&gt;""),"Yes","")</f>
        <v/>
      </c>
      <c r="Y2" t="str">
        <f>IF('Comp Form'!J37&lt;=0,"",'Comp Form'!J37)</f>
        <v/>
      </c>
      <c r="Z2" t="str">
        <f>IF(AND('Comp Form'!P45&gt;0,G2&lt;&gt;""),"Yes","")</f>
        <v/>
      </c>
      <c r="AA2" t="str">
        <f>IF(AND('Comp Form'!P46&gt;0,G2&lt;&gt;""),"Yes","")</f>
        <v/>
      </c>
      <c r="AB2" t="str">
        <f>IF(AND('Comp Form'!P47&gt;0,G2&lt;&gt;""),"Yes","")</f>
        <v/>
      </c>
      <c r="AC2" t="str">
        <f>IF(AND('Comp Form'!P48&gt;0,G2&lt;&gt;""),"Yes","")</f>
        <v/>
      </c>
      <c r="AD2" t="str">
        <f>IF(AND('Comp Form'!P49&gt;0,G2&lt;&gt;""),"Yes","")</f>
        <v/>
      </c>
      <c r="AE2" t="str">
        <f>IF('Comp Form'!J51&lt;=0,"",'Comp Form'!J51)</f>
        <v/>
      </c>
      <c r="AF2" t="str">
        <f>IF('Comp Form'!J52&lt;=0,"",'Comp Form'!J52)</f>
        <v/>
      </c>
      <c r="AG2" t="str">
        <f>IF('Comp Form'!J53&lt;=0,"",'Comp Form'!J53)</f>
        <v/>
      </c>
      <c r="AH2" t="str">
        <f>IF('Comp Form'!J54&lt;=0,"",'Comp Form'!J54)</f>
        <v/>
      </c>
      <c r="AI2" t="str">
        <f>IF('Comp Form'!J55&lt;=0,"",'Comp Form'!J55)</f>
        <v/>
      </c>
      <c r="AJ2" t="str">
        <f>IF('Comp Form'!J56&lt;=0,"",'Comp Form'!J56)</f>
        <v/>
      </c>
      <c r="AK2" t="str">
        <f>IF('Comp Form'!J57&lt;=0,"",'Comp Form'!J57)</f>
        <v/>
      </c>
      <c r="AL2" t="str">
        <f>IF('Comp Form'!J58&lt;=0,"",'Comp Form'!J58)</f>
        <v/>
      </c>
      <c r="AM2" t="str">
        <f>IF('Comp Form'!J59&lt;=0,"",'Comp Form'!J59)</f>
        <v/>
      </c>
      <c r="AN2" t="str">
        <f>IF('Comp Form'!J60&lt;=0,"",'Comp Form'!J60)</f>
        <v/>
      </c>
      <c r="AO2" t="str">
        <f>IF('Comp Form'!J62&lt;=0,"",'Comp Form'!J62)</f>
        <v/>
      </c>
      <c r="AP2" t="str">
        <f>IF('Comp Form'!J64&lt;=0,"",'Comp Form'!J64)</f>
        <v/>
      </c>
      <c r="AQ2" t="str">
        <f>IF('Comp Form'!J67&lt;=0,"",'Comp Form'!J67)</f>
        <v/>
      </c>
      <c r="AR2" t="str">
        <f>IF('Comp Form'!J68&lt;=0,"",'Comp Form'!J68)</f>
        <v/>
      </c>
      <c r="AS2" t="str">
        <f>IF('Comp Form'!J69&lt;=0,"",'Comp Form'!J69)</f>
        <v/>
      </c>
      <c r="AT2" t="str">
        <f>IF('Comp Form'!J70&lt;=0,"",'Comp Form'!J70)</f>
        <v/>
      </c>
    </row>
    <row r="3" spans="1:46" x14ac:dyDescent="0.35">
      <c r="A3" s="10" t="str">
        <f>IF(AP3="","",'Comp Form'!A2)</f>
        <v/>
      </c>
      <c r="B3" s="10" t="str">
        <f>IF(AP3&lt;&gt;"","Eastern Pennsylvania","")</f>
        <v/>
      </c>
      <c r="C3" t="str">
        <f>IF(AP3="","",'Comp Form'!L2)</f>
        <v/>
      </c>
      <c r="D3" t="str">
        <f>IF(AP3="","",'Comp Form'!A4)</f>
        <v/>
      </c>
      <c r="E3" t="str">
        <f>IF(AP3="","",'Comp Form'!F4)</f>
        <v/>
      </c>
      <c r="F3" t="str">
        <f>IF(AP3="","",'Comp Form'!K4)</f>
        <v/>
      </c>
      <c r="G3" t="str">
        <f>IF(AP3="","",'Comp Form'!C7)</f>
        <v/>
      </c>
      <c r="H3" t="str">
        <f>IF(AP3="","",'Comp Form'!C8)</f>
        <v/>
      </c>
      <c r="I3" t="str">
        <f>IF(OR('Comp Form'!F9="",'Comp Form'!F9="Composite Rate"),"",'Comp Form'!F9)</f>
        <v/>
      </c>
      <c r="J3" t="str">
        <f>IF(OR('Comp Form'!F10="",'Comp Form'!F10="Select One - Dropdown"),"",'Comp Form'!F10)</f>
        <v/>
      </c>
      <c r="K3" t="str">
        <f>IF('Comp Form'!K13&lt;=0,"",'Comp Form'!K13)</f>
        <v/>
      </c>
      <c r="L3" t="str">
        <f>IF('Comp Form'!K17&lt;=0,"",'Comp Form'!K17)</f>
        <v/>
      </c>
      <c r="M3" t="str">
        <f>IF('Comp Form'!K18&lt;=0,"",'Comp Form'!K18)</f>
        <v/>
      </c>
      <c r="N3" t="str">
        <f>IF('Comp Form'!K19&lt;=0,"",'Comp Form'!K19)</f>
        <v/>
      </c>
      <c r="O3" t="str">
        <f>IF('Comp Form'!K21&lt;=0,"",'Comp Form'!K21)</f>
        <v/>
      </c>
      <c r="P3" t="str">
        <f>IF('Comp Form'!K22&lt;=0,"",'Comp Form'!K22)</f>
        <v/>
      </c>
      <c r="Q3" t="str">
        <f>IF('Comp Form'!K25&lt;=0,"",'Comp Form'!K25)</f>
        <v/>
      </c>
      <c r="R3" t="str">
        <f>IF('Comp Form'!K26&lt;=0,"",'Comp Form'!K26)</f>
        <v/>
      </c>
      <c r="S3" t="str">
        <f>IF('Comp Form'!K28&lt;=0,"",'Comp Form'!K28)</f>
        <v/>
      </c>
      <c r="T3" t="str">
        <f>IF('Comp Form'!K29&lt;=0,"",'Comp Form'!K29)</f>
        <v/>
      </c>
      <c r="U3" t="str">
        <f>IF('Comp Form'!K30&lt;=0,"",'Comp Form'!K30)</f>
        <v/>
      </c>
      <c r="V3" t="str">
        <f>IF('Comp Form'!K31&lt;=0,"",'Comp Form'!K31)</f>
        <v/>
      </c>
      <c r="W3" t="str">
        <f>IF('Comp Form'!K32&lt;=0,"",'Comp Form'!K32)</f>
        <v/>
      </c>
      <c r="X3" t="str">
        <f>IF(AND('Comp Form'!K35&gt;0,G3&lt;&gt;""),"Yes","")</f>
        <v/>
      </c>
      <c r="Y3" t="str">
        <f>IF('Comp Form'!K37&lt;=0,"",'Comp Form'!K37)</f>
        <v/>
      </c>
      <c r="Z3" t="str">
        <f>IF(AND('Comp Form'!P45&gt;0,G3&lt;&gt;""),"Yes","")</f>
        <v/>
      </c>
      <c r="AA3" t="str">
        <f>IF(AND('Comp Form'!P46&gt;0,G3&lt;&gt;""),"Yes","")</f>
        <v/>
      </c>
      <c r="AB3" t="str">
        <f>IF(AND('Comp Form'!P47&gt;0,G3&lt;&gt;""),"Yes","")</f>
        <v/>
      </c>
      <c r="AC3" t="str">
        <f>IF(AND('Comp Form'!P48&gt;0,G3&lt;&gt;""),"Yes","")</f>
        <v/>
      </c>
      <c r="AD3" t="str">
        <f>IF(AND('Comp Form'!P49&gt;0,G3&lt;&gt;""),"Yes","")</f>
        <v/>
      </c>
      <c r="AE3" t="str">
        <f>IF('Comp Form'!K51&lt;=0,"",'Comp Form'!K51)</f>
        <v/>
      </c>
      <c r="AF3" t="str">
        <f>IF('Comp Form'!K52&lt;=0,"",'Comp Form'!K52)</f>
        <v/>
      </c>
      <c r="AG3" t="str">
        <f>IF('Comp Form'!K53&lt;=0,"",'Comp Form'!K53)</f>
        <v/>
      </c>
      <c r="AH3" t="str">
        <f>IF('Comp Form'!K54&lt;=0,"",'Comp Form'!K54)</f>
        <v/>
      </c>
      <c r="AI3" t="str">
        <f>IF('Comp Form'!K55&lt;=0,"",'Comp Form'!K55)</f>
        <v/>
      </c>
      <c r="AJ3" t="str">
        <f>IF('Comp Form'!K56&lt;=0,"",'Comp Form'!K56)</f>
        <v/>
      </c>
      <c r="AK3" t="str">
        <f>IF('Comp Form'!K57&lt;=0,"",'Comp Form'!K57)</f>
        <v/>
      </c>
      <c r="AL3" t="str">
        <f>IF('Comp Form'!K58&lt;=0,"",'Comp Form'!K58)</f>
        <v/>
      </c>
      <c r="AM3" t="str">
        <f>IF('Comp Form'!K59&lt;=0,"",'Comp Form'!K59)</f>
        <v/>
      </c>
      <c r="AN3" t="str">
        <f>IF('Comp Form'!K60&lt;=0,"",'Comp Form'!K60)</f>
        <v/>
      </c>
      <c r="AO3" t="str">
        <f>IF('Comp Form'!K62&lt;=0,"",'Comp Form'!K62)</f>
        <v/>
      </c>
      <c r="AP3" t="str">
        <f>IF('Comp Form'!K64&lt;=0,"",'Comp Form'!K64)</f>
        <v/>
      </c>
      <c r="AQ3" t="str">
        <f>IF('Comp Form'!K67&lt;=0,"",'Comp Form'!K67)</f>
        <v/>
      </c>
      <c r="AR3" t="str">
        <f>IF('Comp Form'!K68&lt;=0,"",'Comp Form'!K68)</f>
        <v/>
      </c>
      <c r="AS3" t="str">
        <f>IF('Comp Form'!K69&lt;=0,"",'Comp Form'!K69)</f>
        <v/>
      </c>
      <c r="AT3" t="str">
        <f>IF('Comp Form'!K70&lt;=0,"",'Comp Form'!K70)</f>
        <v/>
      </c>
    </row>
    <row r="4" spans="1:46" x14ac:dyDescent="0.35">
      <c r="A4" s="10" t="str">
        <f>IF(AP4="","",'Comp Form'!A2)</f>
        <v/>
      </c>
      <c r="B4" s="10" t="str">
        <f>IF(AP4&lt;&gt;"","Eastern Pennsylvania","")</f>
        <v/>
      </c>
      <c r="C4" t="str">
        <f>IF(AP4="","",'Comp Form'!L2)</f>
        <v/>
      </c>
      <c r="D4" t="str">
        <f>IF(AP4="","",'Comp Form'!A4)</f>
        <v/>
      </c>
      <c r="E4" t="str">
        <f>IF(AP4="","",'Comp Form'!F4)</f>
        <v/>
      </c>
      <c r="F4" t="str">
        <f>IF(AP4="","",'Comp Form'!K4)</f>
        <v/>
      </c>
      <c r="G4" t="str">
        <f>IF(AP4="","",'Comp Form'!C7)</f>
        <v/>
      </c>
      <c r="H4" t="str">
        <f>IF(AP4="","",'Comp Form'!C8)</f>
        <v/>
      </c>
      <c r="I4" t="str">
        <f>IF(OR('Comp Form'!J9="",'Comp Form'!J9="Composite Rate"),"",'Comp Form'!J9)</f>
        <v/>
      </c>
      <c r="J4" t="str">
        <f>IF(OR('Comp Form'!J10="",'Comp Form'!J10="Select One - Dropdown"),"",'Comp Form'!J10)</f>
        <v/>
      </c>
      <c r="K4" t="str">
        <f>IF('Comp Form'!L13&lt;=0,"",'Comp Form'!L13)</f>
        <v/>
      </c>
      <c r="L4" t="str">
        <f>IF('Comp Form'!L17&lt;=0,"",'Comp Form'!L17)</f>
        <v/>
      </c>
      <c r="M4" t="str">
        <f>IF('Comp Form'!L18&lt;=0,"",'Comp Form'!L18)</f>
        <v/>
      </c>
      <c r="N4" t="str">
        <f>IF('Comp Form'!L19&lt;=0,"",'Comp Form'!L19)</f>
        <v/>
      </c>
      <c r="O4" t="str">
        <f>IF('Comp Form'!L21&lt;=0,"",'Comp Form'!L21)</f>
        <v/>
      </c>
      <c r="P4" t="str">
        <f>IF('Comp Form'!L22&lt;=0,"",'Comp Form'!L22)</f>
        <v/>
      </c>
      <c r="Q4" t="str">
        <f>IF('Comp Form'!L25&lt;=0,"",'Comp Form'!L25)</f>
        <v/>
      </c>
      <c r="R4" t="str">
        <f>IF('Comp Form'!L26&lt;=0,"",'Comp Form'!L26)</f>
        <v/>
      </c>
      <c r="S4" t="str">
        <f>IF('Comp Form'!L28&lt;=0,"",'Comp Form'!L28)</f>
        <v/>
      </c>
      <c r="T4" t="str">
        <f>IF('Comp Form'!L29&lt;=0,"",'Comp Form'!L29)</f>
        <v/>
      </c>
      <c r="U4" t="str">
        <f>IF('Comp Form'!L30&lt;=0,"",'Comp Form'!L30)</f>
        <v/>
      </c>
      <c r="V4" t="str">
        <f>IF('Comp Form'!L31&lt;=0,"",'Comp Form'!L31)</f>
        <v/>
      </c>
      <c r="W4" t="str">
        <f>IF('Comp Form'!L32&lt;=0,"",'Comp Form'!L32)</f>
        <v/>
      </c>
      <c r="X4" t="str">
        <f>IF(AND('Comp Form'!L35&gt;0,G4&lt;&gt;""),"Yes","")</f>
        <v/>
      </c>
      <c r="Y4" t="str">
        <f>IF('Comp Form'!L37&lt;=0,"",'Comp Form'!L37)</f>
        <v/>
      </c>
      <c r="Z4" t="str">
        <f>IF(AND('Comp Form'!P45&gt;0,G4&lt;&gt;""),"Yes","")</f>
        <v/>
      </c>
      <c r="AA4" t="str">
        <f>IF(AND('Comp Form'!P46&gt;0,G4&lt;&gt;""),"Yes","")</f>
        <v/>
      </c>
      <c r="AB4" t="str">
        <f>IF(AND('Comp Form'!P47&gt;0,G4&lt;&gt;""),"Yes","")</f>
        <v/>
      </c>
      <c r="AC4" t="str">
        <f>IF(AND('Comp Form'!P48&gt;0,G4&lt;&gt;""),"Yes","")</f>
        <v/>
      </c>
      <c r="AD4" t="str">
        <f>IF(AND('Comp Form'!P49&gt;0,G4&lt;&gt;""),"Yes","")</f>
        <v/>
      </c>
      <c r="AE4" t="str">
        <f>IF('Comp Form'!L51&lt;=0,"",'Comp Form'!L51)</f>
        <v/>
      </c>
      <c r="AF4" t="str">
        <f>IF('Comp Form'!L52&lt;=0,"",'Comp Form'!L52)</f>
        <v/>
      </c>
      <c r="AG4" t="str">
        <f>IF('Comp Form'!L53&lt;=0,"",'Comp Form'!L53)</f>
        <v/>
      </c>
      <c r="AH4" t="str">
        <f>IF('Comp Form'!L54&lt;=0,"",'Comp Form'!L54)</f>
        <v/>
      </c>
      <c r="AI4" t="str">
        <f>IF('Comp Form'!L55&lt;=0,"",'Comp Form'!L55)</f>
        <v/>
      </c>
      <c r="AJ4" t="str">
        <f>IF('Comp Form'!L56&lt;=0,"",'Comp Form'!L56)</f>
        <v/>
      </c>
      <c r="AK4" t="str">
        <f>IF('Comp Form'!L57&lt;=0,"",'Comp Form'!L57)</f>
        <v/>
      </c>
      <c r="AL4" t="str">
        <f>IF('Comp Form'!L58&lt;=0,"",'Comp Form'!L58)</f>
        <v/>
      </c>
      <c r="AM4" t="str">
        <f>IF('Comp Form'!L59&lt;=0,"",'Comp Form'!L59)</f>
        <v/>
      </c>
      <c r="AN4" t="str">
        <f>IF('Comp Form'!L60&lt;=0,"",'Comp Form'!L60)</f>
        <v/>
      </c>
      <c r="AO4" t="str">
        <f>IF('Comp Form'!L62&lt;=0,"",'Comp Form'!L62)</f>
        <v/>
      </c>
      <c r="AP4" t="str">
        <f>IF('Comp Form'!L64&lt;=0,"",'Comp Form'!L64)</f>
        <v/>
      </c>
      <c r="AQ4" t="str">
        <f>IF('Comp Form'!L67&lt;=0,"",'Comp Form'!L67)</f>
        <v/>
      </c>
      <c r="AR4" t="str">
        <f>IF('Comp Form'!L68&lt;=0,"",'Comp Form'!L68)</f>
        <v/>
      </c>
      <c r="AS4" t="str">
        <f>IF('Comp Form'!L69&lt;=0,"",'Comp Form'!L69)</f>
        <v/>
      </c>
      <c r="AT4" t="str">
        <f>IF('Comp Form'!L70&lt;=0,"",'Comp Form'!L70)</f>
        <v/>
      </c>
    </row>
    <row r="5" spans="1:46" x14ac:dyDescent="0.35">
      <c r="A5" s="10" t="str">
        <f>IF(AP5="","",'Comp Form'!A2)</f>
        <v/>
      </c>
      <c r="B5" s="10" t="str">
        <f>IF(AP5&lt;&gt;"","Eastern Pennsylvania","")</f>
        <v/>
      </c>
      <c r="C5" t="str">
        <f>IF(AP5="","",'Comp Form'!L2)</f>
        <v/>
      </c>
      <c r="D5" t="str">
        <f>IF(AP5="","",'Comp Form'!A4)</f>
        <v/>
      </c>
      <c r="E5" t="str">
        <f>IF(AP5="","",'Comp Form'!F4)</f>
        <v/>
      </c>
      <c r="F5" t="str">
        <f>IF(AP5="","",'Comp Form'!K4)</f>
        <v/>
      </c>
      <c r="G5" t="str">
        <f>IF(AP5="","",'Comp Form'!C7)</f>
        <v/>
      </c>
      <c r="H5" t="str">
        <f>IF(AP5="","",'Comp Form'!C8)</f>
        <v/>
      </c>
      <c r="I5" t="str">
        <f>IF(OR('Comp Form'!M9="",'Comp Form'!M9="Composite Rate"),"",'Comp Form'!M9)</f>
        <v/>
      </c>
      <c r="J5" t="str">
        <f>IF(OR('Comp Form'!M10="",'Comp Form'!M10="Select One - Dropdown"),"",'Comp Form'!M10)</f>
        <v/>
      </c>
      <c r="K5" t="str">
        <f>IF('Comp Form'!M13&lt;=0,"",'Comp Form'!M13)</f>
        <v/>
      </c>
      <c r="L5" t="str">
        <f>IF('Comp Form'!M17&lt;=0,"",'Comp Form'!M17)</f>
        <v/>
      </c>
      <c r="M5" t="str">
        <f>IF('Comp Form'!M18&lt;=0,"",'Comp Form'!M18)</f>
        <v/>
      </c>
      <c r="N5" t="str">
        <f>IF('Comp Form'!M19&lt;=0,"",'Comp Form'!M19)</f>
        <v/>
      </c>
      <c r="O5" t="str">
        <f>IF('Comp Form'!M21&lt;=0,"",'Comp Form'!M21)</f>
        <v/>
      </c>
      <c r="P5" t="str">
        <f>IF('Comp Form'!M22&lt;=0,"",'Comp Form'!M22)</f>
        <v/>
      </c>
      <c r="Q5" t="str">
        <f>IF('Comp Form'!M25&lt;=0,"",'Comp Form'!M25)</f>
        <v/>
      </c>
      <c r="R5" t="str">
        <f>IF('Comp Form'!M26&lt;=0,"",'Comp Form'!M26)</f>
        <v/>
      </c>
      <c r="S5" t="str">
        <f>IF('Comp Form'!M28&lt;=0,"",'Comp Form'!M28)</f>
        <v/>
      </c>
      <c r="T5" t="str">
        <f>IF('Comp Form'!M29&lt;=0,"",'Comp Form'!M29)</f>
        <v/>
      </c>
      <c r="U5" t="str">
        <f>IF('Comp Form'!M30&lt;=0,"",'Comp Form'!M30)</f>
        <v/>
      </c>
      <c r="V5" t="str">
        <f>IF('Comp Form'!M31&lt;=0,"",'Comp Form'!M31)</f>
        <v/>
      </c>
      <c r="W5" t="str">
        <f>IF('Comp Form'!M32&lt;=0,"",'Comp Form'!M32)</f>
        <v/>
      </c>
      <c r="X5" t="str">
        <f>IF(AND('Comp Form'!M35&gt;0,G5&lt;&gt;""),"Yes","")</f>
        <v/>
      </c>
      <c r="Y5" t="str">
        <f>IF('Comp Form'!M37&lt;=0,"",'Comp Form'!M37)</f>
        <v/>
      </c>
      <c r="Z5" t="str">
        <f>IF(AND('Comp Form'!P45&gt;0,G5&lt;&gt;""),"Yes","")</f>
        <v/>
      </c>
      <c r="AA5" t="str">
        <f>IF(AND('Comp Form'!P46&gt;0,G5&lt;&gt;""),"Yes","")</f>
        <v/>
      </c>
      <c r="AB5" t="str">
        <f>IF(AND('Comp Form'!P47&gt;0,G5&lt;&gt;""),"Yes","")</f>
        <v/>
      </c>
      <c r="AC5" t="str">
        <f>IF(AND('Comp Form'!P48&gt;0,G5&lt;&gt;""),"Yes","")</f>
        <v/>
      </c>
      <c r="AD5" t="str">
        <f>IF(AND('Comp Form'!P49&gt;0,G5&lt;&gt;""),"Yes","")</f>
        <v/>
      </c>
      <c r="AE5" t="str">
        <f>IF('Comp Form'!M51&lt;=0,"",'Comp Form'!M51)</f>
        <v/>
      </c>
      <c r="AF5" t="str">
        <f>IF('Comp Form'!M52&lt;=0,"",'Comp Form'!M52)</f>
        <v/>
      </c>
      <c r="AG5" t="str">
        <f>IF('Comp Form'!M53&lt;=0,"",'Comp Form'!M53)</f>
        <v/>
      </c>
      <c r="AH5" t="str">
        <f>IF('Comp Form'!M54&lt;=0,"",'Comp Form'!M54)</f>
        <v/>
      </c>
      <c r="AI5" t="str">
        <f>IF('Comp Form'!M55&lt;=0,"",'Comp Form'!M55)</f>
        <v/>
      </c>
      <c r="AJ5" t="str">
        <f>IF('Comp Form'!M56&lt;=0,"",'Comp Form'!M56)</f>
        <v/>
      </c>
      <c r="AK5" t="str">
        <f>IF('Comp Form'!M57&lt;=0,"",'Comp Form'!M57)</f>
        <v/>
      </c>
      <c r="AL5" t="str">
        <f>IF('Comp Form'!M58&lt;=0,"",'Comp Form'!M58)</f>
        <v/>
      </c>
      <c r="AM5" t="str">
        <f>IF('Comp Form'!M59&lt;=0,"",'Comp Form'!M59)</f>
        <v/>
      </c>
      <c r="AN5" t="str">
        <f>IF('Comp Form'!M60&lt;=0,"",'Comp Form'!M60)</f>
        <v/>
      </c>
      <c r="AO5" t="str">
        <f>IF('Comp Form'!M62&lt;=0,"",'Comp Form'!M62)</f>
        <v/>
      </c>
      <c r="AP5" t="str">
        <f>IF('Comp Form'!M64&lt;=0,"",'Comp Form'!M64)</f>
        <v/>
      </c>
      <c r="AQ5" t="str">
        <f>IF('Comp Form'!M67&lt;=0,"",'Comp Form'!M67)</f>
        <v/>
      </c>
      <c r="AR5" t="str">
        <f>IF('Comp Form'!M68&lt;=0,"",'Comp Form'!M68)</f>
        <v/>
      </c>
      <c r="AS5" t="str">
        <f>IF('Comp Form'!M69&lt;=0,"",'Comp Form'!M69)</f>
        <v/>
      </c>
      <c r="AT5" t="str">
        <f>IF('Comp Form'!M70&lt;=0,"",'Comp Form'!M70)</f>
        <v/>
      </c>
    </row>
    <row r="6" spans="1:46" x14ac:dyDescent="0.35">
      <c r="A6" s="10" t="str">
        <f>IF(AP6="","",'Comp Form'!A2)</f>
        <v/>
      </c>
      <c r="B6" s="10" t="str">
        <f>IF(AP6&lt;&gt;"","Eastern Pennsylvania","")</f>
        <v/>
      </c>
      <c r="C6" t="str">
        <f>IF(AP6="","",'Comp Form'!L2)</f>
        <v/>
      </c>
      <c r="D6" t="str">
        <f>IF(AP6="","",'Comp Form'!A4)</f>
        <v/>
      </c>
      <c r="E6" t="str">
        <f>IF(AP6="","",'Comp Form'!F4)</f>
        <v/>
      </c>
      <c r="F6" t="str">
        <f>IF(AP6="","",'Comp Form'!K4)</f>
        <v/>
      </c>
      <c r="G6" t="str">
        <f>IF(AP6="","",'Comp Form'!C7)</f>
        <v/>
      </c>
      <c r="H6" t="str">
        <f>IF(AP6="","",'Comp Form'!C8)</f>
        <v/>
      </c>
      <c r="I6" t="str">
        <f>IF(OR('Comp Form'!O9="",'Comp Form'!O9="Composite Rate"),"",'Comp Form'!O9)</f>
        <v/>
      </c>
      <c r="J6" t="str">
        <f>IF(OR('Comp Form'!O10="",'Comp Form'!O10="Select One - Dropdown"),"",'Comp Form'!O10)</f>
        <v/>
      </c>
      <c r="K6" t="str">
        <f>IF('Comp Form'!N13&lt;=0,"",'Comp Form'!N13)</f>
        <v/>
      </c>
      <c r="L6" t="str">
        <f>IF('Comp Form'!N17&lt;=0,"",'Comp Form'!N17)</f>
        <v/>
      </c>
      <c r="M6" t="str">
        <f>IF('Comp Form'!N18&lt;=0,"",'Comp Form'!N18)</f>
        <v/>
      </c>
      <c r="N6" t="str">
        <f>IF('Comp Form'!N19&lt;=0,"",'Comp Form'!N19)</f>
        <v/>
      </c>
      <c r="O6" t="str">
        <f>IF('Comp Form'!N21&lt;=0,"",'Comp Form'!N21)</f>
        <v/>
      </c>
      <c r="P6" t="str">
        <f>IF('Comp Form'!N22&lt;=0,"",'Comp Form'!N22)</f>
        <v/>
      </c>
      <c r="Q6" t="str">
        <f>IF('Comp Form'!N25&lt;=0,"",'Comp Form'!N25)</f>
        <v/>
      </c>
      <c r="R6" t="str">
        <f>IF('Comp Form'!N26&lt;=0,"",'Comp Form'!N26)</f>
        <v/>
      </c>
      <c r="S6" t="str">
        <f>IF('Comp Form'!N28&lt;=0,"",'Comp Form'!N28)</f>
        <v/>
      </c>
      <c r="T6" t="str">
        <f>IF('Comp Form'!N29&lt;=0,"",'Comp Form'!N29)</f>
        <v/>
      </c>
      <c r="U6" t="str">
        <f>IF('Comp Form'!N30&lt;=0,"",'Comp Form'!N30)</f>
        <v/>
      </c>
      <c r="V6" t="str">
        <f>IF('Comp Form'!N31&lt;=0,"",'Comp Form'!N31)</f>
        <v/>
      </c>
      <c r="W6" t="str">
        <f>IF('Comp Form'!N32&lt;=0,"",'Comp Form'!N32)</f>
        <v/>
      </c>
      <c r="X6" t="str">
        <f>IF(AND('Comp Form'!N35&gt;0,G6&lt;&gt;""),"Yes","")</f>
        <v/>
      </c>
      <c r="Y6" t="str">
        <f>IF('Comp Form'!N37&lt;=0,"",'Comp Form'!N37)</f>
        <v/>
      </c>
      <c r="Z6" t="str">
        <f>IF(AND('Comp Form'!P45&gt;0,G6&lt;&gt;""),"Yes","")</f>
        <v/>
      </c>
      <c r="AA6" t="str">
        <f>IF(AND('Comp Form'!P46&gt;0,G6&lt;&gt;""),"Yes","")</f>
        <v/>
      </c>
      <c r="AB6" t="str">
        <f>IF(AND('Comp Form'!P47&gt;0,G6&lt;&gt;""),"Yes","")</f>
        <v/>
      </c>
      <c r="AC6" t="str">
        <f>IF(AND('Comp Form'!P48&gt;0,G6&lt;&gt;""),"Yes","")</f>
        <v/>
      </c>
      <c r="AD6" t="str">
        <f>IF(AND('Comp Form'!P49&gt;0,G6&lt;&gt;""),"Yes","")</f>
        <v/>
      </c>
      <c r="AE6" t="str">
        <f>IF('Comp Form'!N51&lt;=0,"",'Comp Form'!N51)</f>
        <v/>
      </c>
      <c r="AF6" t="str">
        <f>IF('Comp Form'!N52&lt;=0,"",'Comp Form'!N52)</f>
        <v/>
      </c>
      <c r="AG6" t="str">
        <f>IF('Comp Form'!N53&lt;=0,"",'Comp Form'!N53)</f>
        <v/>
      </c>
      <c r="AH6" t="str">
        <f>IF('Comp Form'!N54&lt;=0,"",'Comp Form'!N54)</f>
        <v/>
      </c>
      <c r="AI6" t="str">
        <f>IF('Comp Form'!N55&lt;=0,"",'Comp Form'!N55)</f>
        <v/>
      </c>
      <c r="AJ6" t="str">
        <f>IF('Comp Form'!N56&lt;=0,"",'Comp Form'!N56)</f>
        <v/>
      </c>
      <c r="AK6" t="str">
        <f>IF('Comp Form'!N57&lt;=0,"",'Comp Form'!N57)</f>
        <v/>
      </c>
      <c r="AL6" t="str">
        <f>IF('Comp Form'!N58&lt;=0,"",'Comp Form'!N58)</f>
        <v/>
      </c>
      <c r="AM6" t="str">
        <f>IF('Comp Form'!N59&lt;=0,"",'Comp Form'!N59)</f>
        <v/>
      </c>
      <c r="AN6" t="str">
        <f>IF('Comp Form'!N60&lt;=0,"",'Comp Form'!N60)</f>
        <v/>
      </c>
      <c r="AO6" t="str">
        <f>IF('Comp Form'!N62&lt;=0,"",'Comp Form'!N62)</f>
        <v/>
      </c>
      <c r="AP6" t="str">
        <f>IF('Comp Form'!N64&lt;=0,"",'Comp Form'!N64)</f>
        <v/>
      </c>
      <c r="AQ6" t="str">
        <f>IF('Comp Form'!N67&lt;=0,"",'Comp Form'!N67)</f>
        <v/>
      </c>
      <c r="AR6" t="str">
        <f>IF('Comp Form'!N68&lt;=0,"",'Comp Form'!N68)</f>
        <v/>
      </c>
      <c r="AS6" t="str">
        <f>IF('Comp Form'!N69&lt;=0,"",'Comp Form'!N69)</f>
        <v/>
      </c>
      <c r="AT6" t="str">
        <f>IF('Comp Form'!N70&lt;=0,"",'Comp Form'!N70)</f>
        <v/>
      </c>
    </row>
  </sheetData>
  <sheetProtection algorithmName="SHA-512" hashValue="0PLAvV8wTBRpabErWNz9CJBSzeFusDph8c7P4PFYpvS+I2HX4H9Uk4ytrPHGPCt+KOMUdtTHO/ifw0TY72Ra0A==" saltValue="oaF8fhRcZXw5x5LSgR0PX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4B394-F5F7-4F1E-BBAA-D30858AE307A}">
  <sheetPr codeName="Sheet2">
    <pageSetUpPr fitToPage="1"/>
  </sheetPr>
  <dimension ref="A1:S170"/>
  <sheetViews>
    <sheetView tabSelected="1" zoomScaleNormal="100" zoomScaleSheetLayoutView="55" workbookViewId="0">
      <selection activeCell="A4" sqref="A4:E4"/>
    </sheetView>
  </sheetViews>
  <sheetFormatPr defaultRowHeight="14.5" x14ac:dyDescent="0.35"/>
  <cols>
    <col min="1" max="1" width="5.54296875" customWidth="1"/>
    <col min="2" max="2" width="6" customWidth="1"/>
    <col min="3" max="3" width="9.1796875" customWidth="1"/>
    <col min="4" max="4" width="11.1796875" customWidth="1"/>
    <col min="5" max="5" width="13.54296875" customWidth="1"/>
    <col min="6" max="6" width="9.453125" customWidth="1"/>
    <col min="7" max="7" width="7" customWidth="1"/>
    <col min="8" max="8" width="0.7265625" customWidth="1"/>
    <col min="9" max="9" width="13.453125" customWidth="1"/>
    <col min="10" max="10" width="13.1796875" customWidth="1"/>
    <col min="11" max="11" width="15.1796875" customWidth="1"/>
    <col min="12" max="12" width="13.81640625" customWidth="1"/>
    <col min="13" max="13" width="14.81640625" customWidth="1"/>
    <col min="14" max="14" width="13.81640625" customWidth="1"/>
    <col min="15" max="15" width="4.81640625" customWidth="1"/>
    <col min="16" max="16" width="13.26953125" customWidth="1"/>
    <col min="19" max="19" width="15.1796875" bestFit="1" customWidth="1"/>
    <col min="20" max="20" width="14.81640625" bestFit="1" customWidth="1"/>
  </cols>
  <sheetData>
    <row r="1" spans="1:16" ht="17" x14ac:dyDescent="0.35">
      <c r="A1" s="279" t="s">
        <v>93</v>
      </c>
      <c r="B1" s="280"/>
      <c r="C1" s="280"/>
      <c r="D1" s="281"/>
      <c r="E1" s="282" t="s">
        <v>81</v>
      </c>
      <c r="F1" s="282"/>
      <c r="G1" s="282"/>
      <c r="H1" s="282"/>
      <c r="I1" s="282"/>
      <c r="J1" s="282"/>
      <c r="K1" s="283"/>
      <c r="L1" s="284" t="s">
        <v>94</v>
      </c>
      <c r="M1" s="280"/>
      <c r="N1" s="280"/>
      <c r="O1" s="280"/>
      <c r="P1" s="285"/>
    </row>
    <row r="2" spans="1:16" ht="32" customHeight="1" thickBot="1" x14ac:dyDescent="0.4">
      <c r="A2" s="286">
        <v>46023</v>
      </c>
      <c r="B2" s="287"/>
      <c r="C2" s="287"/>
      <c r="D2" s="288"/>
      <c r="E2" s="289" t="s">
        <v>163</v>
      </c>
      <c r="F2" s="289"/>
      <c r="G2" s="289"/>
      <c r="H2" s="289"/>
      <c r="I2" s="289"/>
      <c r="J2" s="289"/>
      <c r="K2" s="290"/>
      <c r="L2" s="291" t="s">
        <v>77</v>
      </c>
      <c r="M2" s="292"/>
      <c r="N2" s="292"/>
      <c r="O2" s="292"/>
      <c r="P2" s="293"/>
    </row>
    <row r="3" spans="1:16" ht="16.5" thickTop="1" x14ac:dyDescent="0.35">
      <c r="A3" s="269" t="s">
        <v>95</v>
      </c>
      <c r="B3" s="270"/>
      <c r="C3" s="270"/>
      <c r="D3" s="270"/>
      <c r="E3" s="271"/>
      <c r="F3" s="272" t="s">
        <v>96</v>
      </c>
      <c r="G3" s="270"/>
      <c r="H3" s="270"/>
      <c r="I3" s="270"/>
      <c r="J3" s="270"/>
      <c r="K3" s="272" t="s">
        <v>97</v>
      </c>
      <c r="L3" s="270"/>
      <c r="M3" s="270"/>
      <c r="N3" s="270"/>
      <c r="O3" s="270"/>
      <c r="P3" s="273"/>
    </row>
    <row r="4" spans="1:16" ht="31" customHeight="1" x14ac:dyDescent="0.35">
      <c r="A4" s="274"/>
      <c r="B4" s="275"/>
      <c r="C4" s="275"/>
      <c r="D4" s="275"/>
      <c r="E4" s="276"/>
      <c r="F4" s="277" t="s">
        <v>77</v>
      </c>
      <c r="G4" s="275"/>
      <c r="H4" s="275"/>
      <c r="I4" s="275"/>
      <c r="J4" s="275"/>
      <c r="K4" s="277" t="s">
        <v>77</v>
      </c>
      <c r="L4" s="275"/>
      <c r="M4" s="275"/>
      <c r="N4" s="275"/>
      <c r="O4" s="275"/>
      <c r="P4" s="278"/>
    </row>
    <row r="5" spans="1:16" ht="31" customHeight="1" x14ac:dyDescent="0.35">
      <c r="A5" s="304" t="s">
        <v>543</v>
      </c>
      <c r="B5" s="304"/>
      <c r="C5" s="304"/>
      <c r="D5" s="304"/>
      <c r="E5" s="304"/>
      <c r="F5" s="304"/>
      <c r="G5" s="304"/>
      <c r="H5" s="304"/>
      <c r="I5" s="304"/>
      <c r="J5" s="304"/>
      <c r="K5" s="304"/>
      <c r="L5" s="304"/>
      <c r="M5" s="304"/>
      <c r="N5" s="304"/>
      <c r="O5" s="304"/>
      <c r="P5" s="304"/>
    </row>
    <row r="6" spans="1:16" ht="31.5" customHeight="1" x14ac:dyDescent="0.35">
      <c r="A6" s="305" t="s">
        <v>544</v>
      </c>
      <c r="B6" s="304"/>
      <c r="C6" s="304"/>
      <c r="D6" s="304"/>
      <c r="E6" s="304"/>
      <c r="F6" s="304"/>
      <c r="G6" s="304"/>
      <c r="H6" s="304"/>
      <c r="I6" s="304"/>
      <c r="J6" s="304"/>
      <c r="K6" s="304"/>
      <c r="L6" s="304"/>
      <c r="M6" s="304"/>
      <c r="N6" s="304"/>
      <c r="O6" s="304"/>
      <c r="P6" s="304"/>
    </row>
    <row r="7" spans="1:16" ht="60.5" customHeight="1" x14ac:dyDescent="0.35">
      <c r="A7" s="306" t="s">
        <v>98</v>
      </c>
      <c r="B7" s="307"/>
      <c r="C7" s="162" t="s">
        <v>78</v>
      </c>
      <c r="D7" s="163"/>
      <c r="E7" s="34" t="s">
        <v>99</v>
      </c>
      <c r="F7" s="166" t="s">
        <v>78</v>
      </c>
      <c r="G7" s="167"/>
      <c r="H7" s="168"/>
      <c r="I7" s="34" t="s">
        <v>100</v>
      </c>
      <c r="J7" s="162" t="s">
        <v>78</v>
      </c>
      <c r="K7" s="163"/>
      <c r="L7" s="34" t="s">
        <v>101</v>
      </c>
      <c r="M7" s="33" t="s">
        <v>78</v>
      </c>
      <c r="N7" s="34" t="s">
        <v>102</v>
      </c>
      <c r="O7" s="162" t="s">
        <v>78</v>
      </c>
      <c r="P7" s="163"/>
    </row>
    <row r="8" spans="1:16" ht="16" x14ac:dyDescent="0.35">
      <c r="A8" s="308" t="s">
        <v>8</v>
      </c>
      <c r="B8" s="309"/>
      <c r="C8" s="164" t="str">
        <f>VLOOKUP(C7,'Staff Info'!I:J,2,FALSE)</f>
        <v>GCNO</v>
      </c>
      <c r="D8" s="165"/>
      <c r="E8" s="35" t="s">
        <v>9</v>
      </c>
      <c r="F8" s="169" t="str">
        <f>VLOOKUP(F7,'Staff Info'!I:J,2,FALSE)</f>
        <v>GCNO</v>
      </c>
      <c r="G8" s="170"/>
      <c r="H8" s="171"/>
      <c r="I8" s="35" t="s">
        <v>9</v>
      </c>
      <c r="J8" s="164" t="str">
        <f>VLOOKUP(J7,'Staff Info'!I:J,2,FALSE)</f>
        <v>GCNO</v>
      </c>
      <c r="K8" s="172"/>
      <c r="L8" s="37" t="s">
        <v>9</v>
      </c>
      <c r="M8" s="36" t="str">
        <f>VLOOKUP(M7,'Staff Info'!I:J,2,FALSE)</f>
        <v>GCNO</v>
      </c>
      <c r="N8" s="35" t="s">
        <v>9</v>
      </c>
      <c r="O8" s="164" t="str">
        <f>VLOOKUP(O7,'Staff Info'!I:J,2,FALSE)</f>
        <v>GCNO</v>
      </c>
      <c r="P8" s="165"/>
    </row>
    <row r="9" spans="1:16" ht="49.5" customHeight="1" x14ac:dyDescent="0.4">
      <c r="A9" s="156" t="s">
        <v>171</v>
      </c>
      <c r="B9" s="157"/>
      <c r="C9" s="160" t="str">
        <f>VLOOKUP(C7,'Staff Info'!I1:K364,3,FALSE)</f>
        <v>Composite Rate</v>
      </c>
      <c r="D9" s="161"/>
      <c r="E9" s="108" t="s">
        <v>171</v>
      </c>
      <c r="F9" s="158" t="str">
        <f>VLOOKUP(F7,'Staff Info'!I1:K364,3,FALSE)</f>
        <v>Composite Rate</v>
      </c>
      <c r="G9" s="158"/>
      <c r="H9" s="158"/>
      <c r="I9" s="108" t="s">
        <v>171</v>
      </c>
      <c r="J9" s="159" t="str">
        <f>VLOOKUP(J7,'Staff Info'!I1:K364,3,FALSE)</f>
        <v>Composite Rate</v>
      </c>
      <c r="K9" s="159"/>
      <c r="L9" s="108" t="s">
        <v>171</v>
      </c>
      <c r="M9" s="110" t="str">
        <f>VLOOKUP(M7,'Staff Info'!I1:K364,3,FALSE)</f>
        <v>Composite Rate</v>
      </c>
      <c r="N9" s="108" t="s">
        <v>171</v>
      </c>
      <c r="O9" s="159" t="str">
        <f>VLOOKUP(O7,'Staff Info'!I1:K364,3,FALSE)</f>
        <v>Composite Rate</v>
      </c>
      <c r="P9" s="159"/>
    </row>
    <row r="10" spans="1:16" ht="57" customHeight="1" x14ac:dyDescent="0.35">
      <c r="A10" s="310" t="s">
        <v>82</v>
      </c>
      <c r="B10" s="311"/>
      <c r="C10" s="312" t="s">
        <v>77</v>
      </c>
      <c r="D10" s="312"/>
      <c r="E10" s="38" t="s">
        <v>82</v>
      </c>
      <c r="F10" s="244" t="s">
        <v>77</v>
      </c>
      <c r="G10" s="245"/>
      <c r="H10" s="245"/>
      <c r="I10" s="39" t="s">
        <v>82</v>
      </c>
      <c r="J10" s="312" t="s">
        <v>77</v>
      </c>
      <c r="K10" s="312"/>
      <c r="L10" s="40" t="s">
        <v>82</v>
      </c>
      <c r="M10" s="18" t="s">
        <v>77</v>
      </c>
      <c r="N10" s="38" t="s">
        <v>82</v>
      </c>
      <c r="O10" s="312" t="s">
        <v>77</v>
      </c>
      <c r="P10" s="312"/>
    </row>
    <row r="11" spans="1:16" ht="40.5" customHeight="1" x14ac:dyDescent="0.35">
      <c r="A11" s="249" t="s">
        <v>577</v>
      </c>
      <c r="B11" s="250"/>
      <c r="C11" s="251"/>
      <c r="D11" s="251"/>
      <c r="E11" s="251"/>
      <c r="F11" s="250"/>
      <c r="G11" s="250"/>
      <c r="H11" s="250"/>
      <c r="I11" s="251"/>
      <c r="J11" s="250"/>
      <c r="K11" s="250"/>
      <c r="L11" s="251"/>
      <c r="M11" s="251"/>
      <c r="N11" s="251"/>
      <c r="O11" s="251"/>
      <c r="P11" s="252"/>
    </row>
    <row r="12" spans="1:16" ht="94" customHeight="1" x14ac:dyDescent="0.35">
      <c r="A12" s="253"/>
      <c r="B12" s="254"/>
      <c r="C12" s="254"/>
      <c r="D12" s="254"/>
      <c r="E12" s="254"/>
      <c r="F12" s="254"/>
      <c r="G12" s="254"/>
      <c r="H12" s="254"/>
      <c r="I12" s="255"/>
      <c r="J12" s="41" t="str">
        <f>IF(C7="Church Name - Dropdown","Church A",C7)</f>
        <v>Church A</v>
      </c>
      <c r="K12" s="42" t="str">
        <f>IF(F7="Church Name - Dropdown","Church B",F7)</f>
        <v>Church B</v>
      </c>
      <c r="L12" s="42" t="str">
        <f>IF(J7="Church Name - Dropdown","Church C",J7)</f>
        <v>Church C</v>
      </c>
      <c r="M12" s="42" t="str">
        <f>IF(M7="Church Name - Dropdown","Church D",M7)</f>
        <v>Church D</v>
      </c>
      <c r="N12" s="42" t="str">
        <f>IF(O7="Church Name - Dropdown","Church E",O7)</f>
        <v>Church E</v>
      </c>
      <c r="O12" s="43"/>
      <c r="P12" s="44" t="s">
        <v>10</v>
      </c>
    </row>
    <row r="13" spans="1:16" ht="37.5" customHeight="1" x14ac:dyDescent="0.35">
      <c r="A13" s="45">
        <v>1</v>
      </c>
      <c r="B13" s="256" t="s">
        <v>557</v>
      </c>
      <c r="C13" s="256"/>
      <c r="D13" s="256"/>
      <c r="E13" s="256"/>
      <c r="F13" s="256"/>
      <c r="G13" s="256"/>
      <c r="H13" s="256"/>
      <c r="I13" s="256"/>
      <c r="J13" s="120"/>
      <c r="K13" s="19"/>
      <c r="L13" s="19"/>
      <c r="M13" s="19"/>
      <c r="N13" s="19"/>
      <c r="O13" s="46">
        <v>1</v>
      </c>
      <c r="P13" s="47">
        <f>SUM(J13:N13)</f>
        <v>0</v>
      </c>
    </row>
    <row r="14" spans="1:16" ht="24.65" hidden="1" customHeight="1" x14ac:dyDescent="0.35">
      <c r="A14" s="45">
        <v>2</v>
      </c>
      <c r="B14" s="313" t="s">
        <v>164</v>
      </c>
      <c r="C14" s="314"/>
      <c r="D14" s="314"/>
      <c r="E14" s="314"/>
      <c r="F14" s="314"/>
      <c r="G14" s="314"/>
      <c r="H14" s="314"/>
      <c r="I14" s="315"/>
      <c r="J14" s="19"/>
      <c r="K14" s="19"/>
      <c r="L14" s="19"/>
      <c r="M14" s="19"/>
      <c r="N14" s="19"/>
      <c r="O14" s="46">
        <v>2</v>
      </c>
      <c r="P14" s="47">
        <f t="shared" ref="P14:P19" si="0">SUM(J14:N14)</f>
        <v>0</v>
      </c>
    </row>
    <row r="15" spans="1:16" ht="24.65" hidden="1" customHeight="1" x14ac:dyDescent="0.35">
      <c r="A15" s="45">
        <v>3</v>
      </c>
      <c r="B15" s="313" t="s">
        <v>11</v>
      </c>
      <c r="C15" s="314"/>
      <c r="D15" s="314"/>
      <c r="E15" s="314"/>
      <c r="F15" s="314"/>
      <c r="G15" s="314"/>
      <c r="H15" s="314"/>
      <c r="I15" s="315"/>
      <c r="J15" s="19"/>
      <c r="K15" s="19"/>
      <c r="L15" s="19"/>
      <c r="M15" s="19"/>
      <c r="N15" s="19"/>
      <c r="O15" s="46">
        <v>3</v>
      </c>
      <c r="P15" s="47">
        <f t="shared" si="0"/>
        <v>0</v>
      </c>
    </row>
    <row r="16" spans="1:16" ht="8.5" hidden="1" customHeight="1" x14ac:dyDescent="0.35">
      <c r="A16" s="45">
        <v>4</v>
      </c>
      <c r="B16" s="313" t="s">
        <v>12</v>
      </c>
      <c r="C16" s="314"/>
      <c r="D16" s="314"/>
      <c r="E16" s="314"/>
      <c r="F16" s="314"/>
      <c r="G16" s="314"/>
      <c r="H16" s="314"/>
      <c r="I16" s="315"/>
      <c r="J16" s="19"/>
      <c r="K16" s="19"/>
      <c r="L16" s="19"/>
      <c r="M16" s="20"/>
      <c r="N16" s="20"/>
      <c r="O16" s="45">
        <v>4</v>
      </c>
      <c r="P16" s="47">
        <f t="shared" si="0"/>
        <v>0</v>
      </c>
    </row>
    <row r="17" spans="1:16" ht="51" customHeight="1" x14ac:dyDescent="0.35">
      <c r="A17" s="45">
        <v>2</v>
      </c>
      <c r="B17" s="257" t="s">
        <v>13</v>
      </c>
      <c r="C17" s="257"/>
      <c r="D17" s="257"/>
      <c r="E17" s="257"/>
      <c r="F17" s="257"/>
      <c r="G17" s="257"/>
      <c r="H17" s="257"/>
      <c r="I17" s="257"/>
      <c r="J17" s="21"/>
      <c r="K17" s="21"/>
      <c r="L17" s="21"/>
      <c r="M17" s="22"/>
      <c r="N17" s="22"/>
      <c r="O17" s="45">
        <v>2</v>
      </c>
      <c r="P17" s="47">
        <f t="shared" si="0"/>
        <v>0</v>
      </c>
    </row>
    <row r="18" spans="1:16" ht="57" customHeight="1" x14ac:dyDescent="0.35">
      <c r="A18" s="45">
        <v>3</v>
      </c>
      <c r="B18" s="258" t="s">
        <v>559</v>
      </c>
      <c r="C18" s="258"/>
      <c r="D18" s="258"/>
      <c r="E18" s="258"/>
      <c r="F18" s="258"/>
      <c r="G18" s="258"/>
      <c r="H18" s="258"/>
      <c r="I18" s="258"/>
      <c r="J18" s="19"/>
      <c r="K18" s="19"/>
      <c r="L18" s="19"/>
      <c r="M18" s="20"/>
      <c r="N18" s="20"/>
      <c r="O18" s="45">
        <v>3</v>
      </c>
      <c r="P18" s="47">
        <f t="shared" si="0"/>
        <v>0</v>
      </c>
    </row>
    <row r="19" spans="1:16" ht="24.65" customHeight="1" x14ac:dyDescent="0.35">
      <c r="A19" s="45">
        <v>4</v>
      </c>
      <c r="B19" s="259" t="s">
        <v>161</v>
      </c>
      <c r="C19" s="259"/>
      <c r="D19" s="259"/>
      <c r="E19" s="259"/>
      <c r="F19" s="259"/>
      <c r="G19" s="259"/>
      <c r="H19" s="259"/>
      <c r="I19" s="259"/>
      <c r="J19" s="47">
        <f>SUM(J13:J18)</f>
        <v>0</v>
      </c>
      <c r="K19" s="47">
        <f>SUM(K13:K18)</f>
        <v>0</v>
      </c>
      <c r="L19" s="47">
        <f>SUM(L13:L18)</f>
        <v>0</v>
      </c>
      <c r="M19" s="47">
        <f>SUM(M13:M18)</f>
        <v>0</v>
      </c>
      <c r="N19" s="47">
        <f>SUM(N13:N18)</f>
        <v>0</v>
      </c>
      <c r="O19" s="45">
        <v>4</v>
      </c>
      <c r="P19" s="47">
        <f t="shared" si="0"/>
        <v>0</v>
      </c>
    </row>
    <row r="20" spans="1:16" ht="35.5" customHeight="1" x14ac:dyDescent="0.35">
      <c r="A20" s="192" t="s">
        <v>14</v>
      </c>
      <c r="B20" s="260" t="s">
        <v>15</v>
      </c>
      <c r="C20" s="260"/>
      <c r="D20" s="260"/>
      <c r="E20" s="260"/>
      <c r="F20" s="260"/>
      <c r="G20" s="260"/>
      <c r="H20" s="260"/>
      <c r="I20" s="260"/>
      <c r="J20" s="260"/>
      <c r="K20" s="260"/>
      <c r="L20" s="260"/>
      <c r="M20" s="260"/>
      <c r="N20" s="260"/>
      <c r="O20" s="260"/>
      <c r="P20" s="260"/>
    </row>
    <row r="21" spans="1:16" ht="75" customHeight="1" x14ac:dyDescent="0.35">
      <c r="A21" s="193"/>
      <c r="B21" s="46">
        <v>5</v>
      </c>
      <c r="C21" s="248" t="s">
        <v>554</v>
      </c>
      <c r="D21" s="248"/>
      <c r="E21" s="248"/>
      <c r="F21" s="248"/>
      <c r="G21" s="248"/>
      <c r="H21" s="248"/>
      <c r="I21" s="248"/>
      <c r="J21" s="19"/>
      <c r="K21" s="19"/>
      <c r="L21" s="20"/>
      <c r="M21" s="20"/>
      <c r="N21" s="20"/>
      <c r="O21" s="46">
        <v>5</v>
      </c>
      <c r="P21" s="47">
        <f>SUM(J21:N21)</f>
        <v>0</v>
      </c>
    </row>
    <row r="22" spans="1:16" ht="55.5" customHeight="1" x14ac:dyDescent="0.35">
      <c r="A22" s="193"/>
      <c r="B22" s="46">
        <v>6</v>
      </c>
      <c r="C22" s="195" t="s">
        <v>109</v>
      </c>
      <c r="D22" s="195"/>
      <c r="E22" s="195"/>
      <c r="F22" s="195"/>
      <c r="G22" s="195"/>
      <c r="H22" s="195"/>
      <c r="I22" s="195"/>
      <c r="J22" s="23"/>
      <c r="K22" s="21"/>
      <c r="L22" s="22"/>
      <c r="M22" s="22"/>
      <c r="N22" s="22"/>
      <c r="O22" s="46">
        <v>6</v>
      </c>
      <c r="P22" s="47">
        <f t="shared" ref="P22:P26" si="1">SUM(J22:N22)</f>
        <v>0</v>
      </c>
    </row>
    <row r="23" spans="1:16" ht="90.5" hidden="1" customHeight="1" x14ac:dyDescent="0.35">
      <c r="A23" s="193"/>
      <c r="B23" s="46">
        <v>10</v>
      </c>
      <c r="C23" s="246" t="s">
        <v>110</v>
      </c>
      <c r="D23" s="126"/>
      <c r="E23" s="126"/>
      <c r="F23" s="126"/>
      <c r="G23" s="126"/>
      <c r="H23" s="126"/>
      <c r="I23" s="127"/>
      <c r="J23" s="19"/>
      <c r="K23" s="21"/>
      <c r="L23" s="22"/>
      <c r="M23" s="22"/>
      <c r="N23" s="22"/>
      <c r="O23" s="46">
        <v>10</v>
      </c>
      <c r="P23" s="47">
        <f t="shared" si="1"/>
        <v>0</v>
      </c>
    </row>
    <row r="24" spans="1:16" ht="82" hidden="1" customHeight="1" x14ac:dyDescent="0.35">
      <c r="A24" s="193"/>
      <c r="B24" s="46">
        <v>11</v>
      </c>
      <c r="C24" s="246" t="s">
        <v>111</v>
      </c>
      <c r="D24" s="126"/>
      <c r="E24" s="126"/>
      <c r="F24" s="126"/>
      <c r="G24" s="126"/>
      <c r="H24" s="126"/>
      <c r="I24" s="127"/>
      <c r="J24" s="19"/>
      <c r="K24" s="21"/>
      <c r="L24" s="22"/>
      <c r="M24" s="22"/>
      <c r="N24" s="22"/>
      <c r="O24" s="46">
        <v>11</v>
      </c>
      <c r="P24" s="47">
        <f t="shared" si="1"/>
        <v>0</v>
      </c>
    </row>
    <row r="25" spans="1:16" ht="118" customHeight="1" x14ac:dyDescent="0.35">
      <c r="A25" s="193"/>
      <c r="B25" s="46">
        <v>7</v>
      </c>
      <c r="C25" s="195" t="s">
        <v>558</v>
      </c>
      <c r="D25" s="195"/>
      <c r="E25" s="195"/>
      <c r="F25" s="195"/>
      <c r="G25" s="195"/>
      <c r="H25" s="195"/>
      <c r="I25" s="195"/>
      <c r="J25" s="19"/>
      <c r="K25" s="19"/>
      <c r="L25" s="20"/>
      <c r="M25" s="20"/>
      <c r="N25" s="20"/>
      <c r="O25" s="46">
        <v>7</v>
      </c>
      <c r="P25" s="47">
        <f t="shared" si="1"/>
        <v>0</v>
      </c>
    </row>
    <row r="26" spans="1:16" ht="35.15" customHeight="1" x14ac:dyDescent="0.35">
      <c r="A26" s="193"/>
      <c r="B26" s="46">
        <v>8</v>
      </c>
      <c r="C26" s="195" t="s">
        <v>108</v>
      </c>
      <c r="D26" s="195"/>
      <c r="E26" s="195"/>
      <c r="F26" s="195"/>
      <c r="G26" s="195"/>
      <c r="H26" s="195"/>
      <c r="I26" s="195"/>
      <c r="J26" s="47">
        <f>SUM(J21:J25)</f>
        <v>0</v>
      </c>
      <c r="K26" s="47">
        <f>SUM(K21:K25)</f>
        <v>0</v>
      </c>
      <c r="L26" s="47">
        <f>SUM(L21:L25)</f>
        <v>0</v>
      </c>
      <c r="M26" s="47">
        <f>SUM(M21:M25)</f>
        <v>0</v>
      </c>
      <c r="N26" s="47">
        <f>SUM(N21:N25)</f>
        <v>0</v>
      </c>
      <c r="O26" s="46">
        <v>8</v>
      </c>
      <c r="P26" s="47">
        <f t="shared" si="1"/>
        <v>0</v>
      </c>
    </row>
    <row r="27" spans="1:16" ht="59.5" customHeight="1" x14ac:dyDescent="0.35">
      <c r="A27" s="193"/>
      <c r="B27" s="196" t="s">
        <v>118</v>
      </c>
      <c r="C27" s="197"/>
      <c r="D27" s="197"/>
      <c r="E27" s="197"/>
      <c r="F27" s="197"/>
      <c r="G27" s="197"/>
      <c r="H27" s="197"/>
      <c r="I27" s="197"/>
      <c r="J27" s="197"/>
      <c r="K27" s="197"/>
      <c r="L27" s="197"/>
      <c r="M27" s="197"/>
      <c r="N27" s="197"/>
      <c r="O27" s="197"/>
      <c r="P27" s="198"/>
    </row>
    <row r="28" spans="1:16" ht="67" customHeight="1" x14ac:dyDescent="0.35">
      <c r="A28" s="193"/>
      <c r="B28" s="46">
        <v>9</v>
      </c>
      <c r="C28" s="199" t="s">
        <v>556</v>
      </c>
      <c r="D28" s="199"/>
      <c r="E28" s="199"/>
      <c r="F28" s="199"/>
      <c r="G28" s="199"/>
      <c r="H28" s="199"/>
      <c r="I28" s="199"/>
      <c r="J28" s="24"/>
      <c r="K28" s="24"/>
      <c r="L28" s="24"/>
      <c r="M28" s="25"/>
      <c r="N28" s="26"/>
      <c r="O28" s="46">
        <v>9</v>
      </c>
      <c r="P28" s="50">
        <f>SUM(J28:N28)</f>
        <v>0</v>
      </c>
    </row>
    <row r="29" spans="1:16" ht="51.5" customHeight="1" x14ac:dyDescent="0.35">
      <c r="A29" s="193"/>
      <c r="B29" s="45">
        <v>10</v>
      </c>
      <c r="C29" s="200" t="s">
        <v>112</v>
      </c>
      <c r="D29" s="201"/>
      <c r="E29" s="201"/>
      <c r="F29" s="201"/>
      <c r="G29" s="201"/>
      <c r="H29" s="201"/>
      <c r="I29" s="202"/>
      <c r="J29" s="27"/>
      <c r="K29" s="24"/>
      <c r="L29" s="24"/>
      <c r="M29" s="28"/>
      <c r="N29" s="29"/>
      <c r="O29" s="45">
        <v>10</v>
      </c>
      <c r="P29" s="50">
        <f t="shared" ref="P29:P32" si="2">SUM(J29:N29)</f>
        <v>0</v>
      </c>
    </row>
    <row r="30" spans="1:16" ht="38" customHeight="1" x14ac:dyDescent="0.35">
      <c r="A30" s="193"/>
      <c r="B30" s="46">
        <v>11</v>
      </c>
      <c r="C30" s="203" t="s">
        <v>113</v>
      </c>
      <c r="D30" s="203"/>
      <c r="E30" s="203"/>
      <c r="F30" s="203"/>
      <c r="G30" s="203"/>
      <c r="H30" s="203"/>
      <c r="I30" s="203"/>
      <c r="J30" s="48">
        <f>J19-J26-J28+J25</f>
        <v>0</v>
      </c>
      <c r="K30" s="49">
        <f>K19-K26-K28+K25</f>
        <v>0</v>
      </c>
      <c r="L30" s="49">
        <f>L19-L26-L28+L25</f>
        <v>0</v>
      </c>
      <c r="M30" s="49">
        <f>M19-M26-M28+M25</f>
        <v>0</v>
      </c>
      <c r="N30" s="49">
        <f>N19-N26-N28+N25</f>
        <v>0</v>
      </c>
      <c r="O30" s="46">
        <v>11</v>
      </c>
      <c r="P30" s="50">
        <f t="shared" si="2"/>
        <v>0</v>
      </c>
    </row>
    <row r="31" spans="1:16" ht="44" customHeight="1" x14ac:dyDescent="0.35">
      <c r="A31" s="193"/>
      <c r="B31" s="46">
        <v>12</v>
      </c>
      <c r="C31" s="204" t="s">
        <v>114</v>
      </c>
      <c r="D31" s="204"/>
      <c r="E31" s="204"/>
      <c r="F31" s="204"/>
      <c r="G31" s="204"/>
      <c r="H31" s="204"/>
      <c r="I31" s="204"/>
      <c r="J31" s="51">
        <f>J19-J26-J18</f>
        <v>0</v>
      </c>
      <c r="K31" s="52">
        <f>K19-K26-K18</f>
        <v>0</v>
      </c>
      <c r="L31" s="52">
        <f>L19-L26-L18</f>
        <v>0</v>
      </c>
      <c r="M31" s="52">
        <f>M19-M26-M18</f>
        <v>0</v>
      </c>
      <c r="N31" s="52">
        <f>N19-N26-N18</f>
        <v>0</v>
      </c>
      <c r="O31" s="46">
        <v>12</v>
      </c>
      <c r="P31" s="50">
        <f t="shared" si="2"/>
        <v>0</v>
      </c>
    </row>
    <row r="32" spans="1:16" ht="45.5" customHeight="1" x14ac:dyDescent="0.35">
      <c r="A32" s="194"/>
      <c r="B32" s="46">
        <v>13</v>
      </c>
      <c r="C32" s="247" t="s">
        <v>561</v>
      </c>
      <c r="D32" s="247"/>
      <c r="E32" s="247"/>
      <c r="F32" s="247"/>
      <c r="G32" s="247"/>
      <c r="H32" s="247"/>
      <c r="I32" s="247"/>
      <c r="J32" s="52">
        <f>J31+J26+J18</f>
        <v>0</v>
      </c>
      <c r="K32" s="52">
        <f>K31+K26+K18</f>
        <v>0</v>
      </c>
      <c r="L32" s="52">
        <f>L31+L26+L18</f>
        <v>0</v>
      </c>
      <c r="M32" s="52">
        <f>M31+M26+M18</f>
        <v>0</v>
      </c>
      <c r="N32" s="52">
        <f>N31+N26+N18</f>
        <v>0</v>
      </c>
      <c r="O32" s="46">
        <v>13</v>
      </c>
      <c r="P32" s="50">
        <f t="shared" si="2"/>
        <v>0</v>
      </c>
    </row>
    <row r="33" spans="1:16" ht="66.5" customHeight="1" x14ac:dyDescent="0.35">
      <c r="A33" s="263" t="s">
        <v>16</v>
      </c>
      <c r="B33" s="264"/>
      <c r="C33" s="264"/>
      <c r="D33" s="264"/>
      <c r="E33" s="264"/>
      <c r="F33" s="264"/>
      <c r="G33" s="264"/>
      <c r="H33" s="264"/>
      <c r="I33" s="265"/>
      <c r="J33" s="223" t="str">
        <f>IF(C7="Church Name - Dropdown","Church A",C7)</f>
        <v>Church A</v>
      </c>
      <c r="K33" s="223" t="str">
        <f>IF(F7="Church Name - Dropdown","Church B",F7)</f>
        <v>Church B</v>
      </c>
      <c r="L33" s="223" t="str">
        <f>IF(J7="Church Name - Dropdown","Church C",J7)</f>
        <v>Church C</v>
      </c>
      <c r="M33" s="223" t="str">
        <f>IF(M7="Church Name - Dropdown","Church D",M7)</f>
        <v>Church D</v>
      </c>
      <c r="N33" s="223" t="str">
        <f>IF(O7="Church Name - Dropdown","Church E",O7)</f>
        <v>Church E</v>
      </c>
      <c r="O33" s="227" t="s">
        <v>115</v>
      </c>
      <c r="P33" s="228"/>
    </row>
    <row r="34" spans="1:16" ht="41" customHeight="1" x14ac:dyDescent="0.35">
      <c r="A34" s="266"/>
      <c r="B34" s="267"/>
      <c r="C34" s="267"/>
      <c r="D34" s="267"/>
      <c r="E34" s="267"/>
      <c r="F34" s="267"/>
      <c r="G34" s="267"/>
      <c r="H34" s="267"/>
      <c r="I34" s="268"/>
      <c r="J34" s="224"/>
      <c r="K34" s="224"/>
      <c r="L34" s="224"/>
      <c r="M34" s="224"/>
      <c r="N34" s="224"/>
      <c r="O34" s="225">
        <f>COUNTIF(J32:N32,"&gt;0")</f>
        <v>0</v>
      </c>
      <c r="P34" s="226"/>
    </row>
    <row r="35" spans="1:16" ht="51.65" customHeight="1" x14ac:dyDescent="0.35">
      <c r="A35" s="229">
        <v>14</v>
      </c>
      <c r="B35" s="234" t="s">
        <v>555</v>
      </c>
      <c r="C35" s="235"/>
      <c r="D35" s="235"/>
      <c r="E35" s="235"/>
      <c r="F35" s="235"/>
      <c r="G35" s="235"/>
      <c r="H35" s="235"/>
      <c r="I35" s="236"/>
      <c r="J35" s="261"/>
      <c r="K35" s="261"/>
      <c r="L35" s="261"/>
      <c r="M35" s="261"/>
      <c r="N35" s="261"/>
      <c r="O35" s="316" t="s">
        <v>124</v>
      </c>
      <c r="P35" s="317"/>
    </row>
    <row r="36" spans="1:16" ht="64.5" customHeight="1" x14ac:dyDescent="0.35">
      <c r="A36" s="230"/>
      <c r="B36" s="237"/>
      <c r="C36" s="238"/>
      <c r="D36" s="238"/>
      <c r="E36" s="238"/>
      <c r="F36" s="238"/>
      <c r="G36" s="238"/>
      <c r="H36" s="238"/>
      <c r="I36" s="239"/>
      <c r="J36" s="262"/>
      <c r="K36" s="262"/>
      <c r="L36" s="262"/>
      <c r="M36" s="262"/>
      <c r="N36" s="262"/>
      <c r="O36" s="318" cm="1">
        <f t="array" ref="O36">IFERROR(_xlfn.IFS(J35&lt;&gt;"",P13,K35&lt;&gt;"",P13,L35&lt;&gt;"",P13,M35&lt;&gt;"",P13,N35&lt;&gt;"",P13),0)</f>
        <v>0</v>
      </c>
      <c r="P36" s="319"/>
    </row>
    <row r="37" spans="1:16" ht="79" customHeight="1" x14ac:dyDescent="0.35">
      <c r="A37" s="46">
        <v>15</v>
      </c>
      <c r="B37" s="195" t="s">
        <v>123</v>
      </c>
      <c r="C37" s="195"/>
      <c r="D37" s="195"/>
      <c r="E37" s="195"/>
      <c r="F37" s="240"/>
      <c r="G37" s="240"/>
      <c r="H37" s="240"/>
      <c r="I37" s="240"/>
      <c r="J37" s="53">
        <f>IFERROR(IF(O36&gt;0,(J13/O36)*O37,0),0)</f>
        <v>0</v>
      </c>
      <c r="K37" s="53">
        <f>IFERROR(IF(O36&gt;0,(K13/O36)*O37,0),0)</f>
        <v>0</v>
      </c>
      <c r="L37" s="53">
        <f>IFERROR(IF(O36&gt;0,(L13/O36)*O37,0),0)</f>
        <v>0</v>
      </c>
      <c r="M37" s="53">
        <f>IFERROR(IF(O36&gt;0,(M13/O36)*O37,0),0)</f>
        <v>0</v>
      </c>
      <c r="N37" s="53">
        <f>IFERROR(IF(O36&gt;0,(N13/O36)*O37,0),0)</f>
        <v>0</v>
      </c>
      <c r="O37" s="318">
        <f>IFERROR(IF(O36&gt;0,IF(O36*0.35&lt;10000,10000,O36*0.35),0),0)</f>
        <v>0</v>
      </c>
      <c r="P37" s="319"/>
    </row>
    <row r="38" spans="1:16" ht="48.5" customHeight="1" x14ac:dyDescent="0.35">
      <c r="A38" s="241" t="s">
        <v>540</v>
      </c>
      <c r="B38" s="232"/>
      <c r="C38" s="232"/>
      <c r="D38" s="232"/>
      <c r="E38" s="232"/>
      <c r="F38" s="232"/>
      <c r="G38" s="232"/>
      <c r="H38" s="232"/>
      <c r="I38" s="232"/>
      <c r="J38" s="232"/>
      <c r="K38" s="232"/>
      <c r="L38" s="232"/>
      <c r="M38" s="232"/>
      <c r="N38" s="232"/>
      <c r="O38" s="232"/>
      <c r="P38" s="233"/>
    </row>
    <row r="39" spans="1:16" ht="58.5" customHeight="1" x14ac:dyDescent="0.35">
      <c r="A39" s="241" t="s">
        <v>541</v>
      </c>
      <c r="B39" s="232"/>
      <c r="C39" s="232"/>
      <c r="D39" s="232"/>
      <c r="E39" s="232"/>
      <c r="F39" s="232"/>
      <c r="G39" s="232"/>
      <c r="H39" s="232"/>
      <c r="I39" s="232"/>
      <c r="J39" s="232"/>
      <c r="K39" s="232"/>
      <c r="L39" s="232"/>
      <c r="M39" s="232"/>
      <c r="N39" s="232"/>
      <c r="O39" s="232"/>
      <c r="P39" s="233"/>
    </row>
    <row r="40" spans="1:16" ht="49.5" customHeight="1" x14ac:dyDescent="0.35">
      <c r="A40" s="241" t="s">
        <v>103</v>
      </c>
      <c r="B40" s="232"/>
      <c r="C40" s="232"/>
      <c r="D40" s="232"/>
      <c r="E40" s="232"/>
      <c r="F40" s="232"/>
      <c r="G40" s="232"/>
      <c r="H40" s="232"/>
      <c r="I40" s="232"/>
      <c r="J40" s="232"/>
      <c r="K40" s="232"/>
      <c r="L40" s="232"/>
      <c r="M40" s="232"/>
      <c r="N40" s="232"/>
      <c r="O40" s="232"/>
      <c r="P40" s="233"/>
    </row>
    <row r="41" spans="1:16" ht="60" customHeight="1" x14ac:dyDescent="0.35">
      <c r="A41" s="241" t="s">
        <v>104</v>
      </c>
      <c r="B41" s="232"/>
      <c r="C41" s="232"/>
      <c r="D41" s="232"/>
      <c r="E41" s="232"/>
      <c r="F41" s="232"/>
      <c r="G41" s="232"/>
      <c r="H41" s="232"/>
      <c r="I41" s="232"/>
      <c r="J41" s="232"/>
      <c r="K41" s="232"/>
      <c r="L41" s="232"/>
      <c r="M41" s="232"/>
      <c r="N41" s="232"/>
      <c r="O41" s="232"/>
      <c r="P41" s="233"/>
    </row>
    <row r="42" spans="1:16" ht="66" customHeight="1" x14ac:dyDescent="0.35">
      <c r="A42" s="241" t="s">
        <v>125</v>
      </c>
      <c r="B42" s="232"/>
      <c r="C42" s="232"/>
      <c r="D42" s="232"/>
      <c r="E42" s="232"/>
      <c r="F42" s="232"/>
      <c r="G42" s="232"/>
      <c r="H42" s="232"/>
      <c r="I42" s="232"/>
      <c r="J42" s="232"/>
      <c r="K42" s="232"/>
      <c r="L42" s="232"/>
      <c r="M42" s="232"/>
      <c r="N42" s="232"/>
      <c r="O42" s="232"/>
      <c r="P42" s="233"/>
    </row>
    <row r="43" spans="1:16" ht="51" customHeight="1" x14ac:dyDescent="0.35">
      <c r="A43" s="231" t="s">
        <v>548</v>
      </c>
      <c r="B43" s="232"/>
      <c r="C43" s="232"/>
      <c r="D43" s="232"/>
      <c r="E43" s="232"/>
      <c r="F43" s="232"/>
      <c r="G43" s="232"/>
      <c r="H43" s="232"/>
      <c r="I43" s="232"/>
      <c r="J43" s="232"/>
      <c r="K43" s="232"/>
      <c r="L43" s="232"/>
      <c r="M43" s="232"/>
      <c r="N43" s="232"/>
      <c r="O43" s="232"/>
      <c r="P43" s="233"/>
    </row>
    <row r="44" spans="1:16" ht="59.5" customHeight="1" thickBot="1" x14ac:dyDescent="0.4">
      <c r="A44" s="208" t="s">
        <v>546</v>
      </c>
      <c r="B44" s="209"/>
      <c r="C44" s="209"/>
      <c r="D44" s="209"/>
      <c r="E44" s="209"/>
      <c r="F44" s="209"/>
      <c r="G44" s="209"/>
      <c r="H44" s="209"/>
      <c r="I44" s="209"/>
      <c r="J44" s="222"/>
      <c r="K44" s="209"/>
      <c r="L44" s="209"/>
      <c r="M44" s="209"/>
      <c r="N44" s="209"/>
      <c r="O44" s="209"/>
      <c r="P44" s="210"/>
    </row>
    <row r="45" spans="1:16" ht="25" customHeight="1" thickBot="1" x14ac:dyDescent="0.4">
      <c r="A45" s="133" t="s">
        <v>160</v>
      </c>
      <c r="B45" s="134"/>
      <c r="C45" s="134"/>
      <c r="D45" s="134"/>
      <c r="E45" s="134"/>
      <c r="F45" s="134"/>
      <c r="G45" s="134"/>
      <c r="H45" s="54"/>
      <c r="I45" s="54"/>
      <c r="J45" s="55"/>
      <c r="K45" s="55"/>
      <c r="L45" s="55"/>
      <c r="M45" s="55"/>
      <c r="N45" s="55"/>
      <c r="O45" s="56"/>
      <c r="P45" s="32"/>
    </row>
    <row r="46" spans="1:16" ht="39.5" customHeight="1" thickBot="1" x14ac:dyDescent="0.4">
      <c r="A46" s="135" t="s">
        <v>542</v>
      </c>
      <c r="B46" s="136"/>
      <c r="C46" s="136"/>
      <c r="D46" s="136"/>
      <c r="E46" s="136"/>
      <c r="F46" s="136"/>
      <c r="G46" s="136"/>
      <c r="H46" s="136"/>
      <c r="I46" s="136"/>
      <c r="J46" s="136"/>
      <c r="K46" s="136"/>
      <c r="L46" s="55"/>
      <c r="M46" s="55"/>
      <c r="N46" s="55"/>
      <c r="O46" s="56"/>
      <c r="P46" s="32"/>
    </row>
    <row r="47" spans="1:16" ht="23.15" customHeight="1" thickBot="1" x14ac:dyDescent="0.4">
      <c r="A47" s="137" t="s">
        <v>17</v>
      </c>
      <c r="B47" s="138"/>
      <c r="C47" s="138"/>
      <c r="D47" s="138"/>
      <c r="E47" s="138"/>
      <c r="F47" s="138"/>
      <c r="G47" s="138"/>
      <c r="H47" s="54"/>
      <c r="I47" s="54"/>
      <c r="J47" s="55"/>
      <c r="K47" s="55"/>
      <c r="L47" s="55"/>
      <c r="M47" s="55"/>
      <c r="N47" s="55"/>
      <c r="O47" s="56"/>
      <c r="P47" s="32"/>
    </row>
    <row r="48" spans="1:16" ht="26.5" customHeight="1" thickBot="1" x14ac:dyDescent="0.4">
      <c r="A48" s="137" t="s">
        <v>18</v>
      </c>
      <c r="B48" s="138"/>
      <c r="C48" s="138"/>
      <c r="D48" s="138"/>
      <c r="E48" s="138"/>
      <c r="F48" s="138"/>
      <c r="G48" s="138"/>
      <c r="H48" s="138"/>
      <c r="I48" s="138"/>
      <c r="J48" s="138"/>
      <c r="K48" s="55"/>
      <c r="L48" s="55"/>
      <c r="M48" s="55"/>
      <c r="N48" s="55"/>
      <c r="O48" s="56"/>
      <c r="P48" s="32"/>
    </row>
    <row r="49" spans="1:19" ht="26.5" customHeight="1" thickBot="1" x14ac:dyDescent="0.4">
      <c r="A49" s="137" t="s">
        <v>19</v>
      </c>
      <c r="B49" s="138"/>
      <c r="C49" s="138"/>
      <c r="D49" s="138"/>
      <c r="E49" s="138"/>
      <c r="F49" s="138"/>
      <c r="G49" s="138"/>
      <c r="H49" s="138"/>
      <c r="I49" s="138"/>
      <c r="J49" s="138"/>
      <c r="K49" s="138"/>
      <c r="L49" s="57"/>
      <c r="M49" s="57"/>
      <c r="N49" s="57"/>
      <c r="O49" s="58"/>
      <c r="P49" s="32"/>
    </row>
    <row r="50" spans="1:19" ht="54" customHeight="1" thickBot="1" x14ac:dyDescent="0.4">
      <c r="A50" s="135" t="s">
        <v>579</v>
      </c>
      <c r="B50" s="138"/>
      <c r="C50" s="138"/>
      <c r="D50" s="138"/>
      <c r="E50" s="138"/>
      <c r="F50" s="138"/>
      <c r="G50" s="138"/>
      <c r="H50" s="138"/>
      <c r="I50" s="138"/>
      <c r="J50" s="138"/>
      <c r="K50" s="138"/>
      <c r="L50" s="138"/>
      <c r="M50" s="138"/>
      <c r="N50" s="138"/>
      <c r="O50" s="138"/>
      <c r="P50" s="123"/>
    </row>
    <row r="51" spans="1:19" ht="90" customHeight="1" x14ac:dyDescent="0.35">
      <c r="A51" s="46">
        <v>16</v>
      </c>
      <c r="B51" s="125" t="s">
        <v>550</v>
      </c>
      <c r="C51" s="126"/>
      <c r="D51" s="126"/>
      <c r="E51" s="126"/>
      <c r="F51" s="126"/>
      <c r="G51" s="126"/>
      <c r="H51" s="126"/>
      <c r="I51" s="127"/>
      <c r="J51" s="30"/>
      <c r="K51" s="19"/>
      <c r="L51" s="19"/>
      <c r="M51" s="19"/>
      <c r="N51" s="19"/>
      <c r="O51" s="46">
        <v>16</v>
      </c>
      <c r="P51" s="60">
        <f>SUM(J51:N51)</f>
        <v>0</v>
      </c>
    </row>
    <row r="52" spans="1:19" ht="61" customHeight="1" x14ac:dyDescent="0.35">
      <c r="A52" s="46">
        <v>17</v>
      </c>
      <c r="B52" s="128" t="s">
        <v>162</v>
      </c>
      <c r="C52" s="128"/>
      <c r="D52" s="128"/>
      <c r="E52" s="128"/>
      <c r="F52" s="128"/>
      <c r="G52" s="128"/>
      <c r="H52" s="128"/>
      <c r="I52" s="128"/>
      <c r="J52" s="61">
        <f>IFERROR(IF(P49&gt;0,0,IF(J37&gt;0,J13+J37,J32)),0)</f>
        <v>0</v>
      </c>
      <c r="K52" s="61">
        <f>IFERROR(IF(P49&gt;0,0,IF(K37&gt;0,K13+K37,K32)),0)</f>
        <v>0</v>
      </c>
      <c r="L52" s="61">
        <f>IFERROR(IF(P49&gt;0,0,IF(L37&gt;0,L13+L37,L32)),0)</f>
        <v>0</v>
      </c>
      <c r="M52" s="61">
        <f>IFERROR(IF(P49&gt;0,0,IF(M37&gt;0,M13+M37,M32)),0)</f>
        <v>0</v>
      </c>
      <c r="N52" s="61">
        <f>IFERROR(IF(P49&gt;0,0,IF(N37&gt;0,N13+N37,N32)),0)</f>
        <v>0</v>
      </c>
      <c r="O52" s="46">
        <v>17</v>
      </c>
      <c r="P52" s="60">
        <f t="shared" ref="P52:P60" si="3">SUM(J52:N52)</f>
        <v>0</v>
      </c>
    </row>
    <row r="53" spans="1:19" ht="57" customHeight="1" thickBot="1" x14ac:dyDescent="0.4">
      <c r="A53" s="46">
        <v>18</v>
      </c>
      <c r="B53" s="129" t="s">
        <v>553</v>
      </c>
      <c r="C53" s="129"/>
      <c r="D53" s="129"/>
      <c r="E53" s="129"/>
      <c r="F53" s="129"/>
      <c r="G53" s="129"/>
      <c r="H53" s="129"/>
      <c r="I53" s="130"/>
      <c r="J53" s="61">
        <f>IFERROR(IF(AND($P46&lt;=0,$P49&lt;=0,$P50&lt;=0),J52*0.03,0),0)</f>
        <v>0</v>
      </c>
      <c r="K53" s="61">
        <f>IFERROR(IF(AND($P46&lt;=0,$P49&lt;=0,$P50&lt;=0),K52*0.03,0),0)</f>
        <v>0</v>
      </c>
      <c r="L53" s="61">
        <f>IFERROR(IF(AND($P46&lt;=0,$P49&lt;=0,$P50&lt;=0),L52*0.03,0),0)</f>
        <v>0</v>
      </c>
      <c r="M53" s="61">
        <f>IFERROR(IF(AND($P46&lt;=0,$P49&lt;=0,$P50&lt;=0),M52*0.03,0),0)</f>
        <v>0</v>
      </c>
      <c r="N53" s="61">
        <f>IFERROR(IF(AND($P46&lt;=0,$P49&lt;=0,$P50&lt;=0),N52*0.03,0),0)</f>
        <v>0</v>
      </c>
      <c r="O53" s="46">
        <v>18</v>
      </c>
      <c r="P53" s="60">
        <f t="shared" si="3"/>
        <v>0</v>
      </c>
    </row>
    <row r="54" spans="1:19" ht="106.5" customHeight="1" thickBot="1" x14ac:dyDescent="0.4">
      <c r="A54" s="46">
        <v>19</v>
      </c>
      <c r="B54" s="242" t="s">
        <v>576</v>
      </c>
      <c r="C54" s="243"/>
      <c r="D54" s="243"/>
      <c r="E54" s="243"/>
      <c r="F54" s="243"/>
      <c r="G54" s="243"/>
      <c r="H54" s="243"/>
      <c r="I54" s="112"/>
      <c r="J54" s="111">
        <f>IFERROR(IF(AND(I54&gt;0,$P50&lt;=0),(J32/P32)*I54,0),0)</f>
        <v>0</v>
      </c>
      <c r="K54" s="61">
        <f>IFERROR(IF(AND(I54&gt;0,$P50&lt;=0),(K32/P32)*I54,0),0)</f>
        <v>0</v>
      </c>
      <c r="L54" s="61">
        <f>IFERROR(IF(AND(I54&gt;0,$P50&lt;=0),(L32/P32)*I54,0),0)</f>
        <v>0</v>
      </c>
      <c r="M54" s="61">
        <f>IFERROR(IF(AND(I54&gt;0,$P50&lt;=0),(M32/P32)*I54,0),0)</f>
        <v>0</v>
      </c>
      <c r="N54" s="61">
        <f>IFERROR(IF(AND(I54&gt;0,$P50&lt;=0),(N32/P32)*I54,0),0)</f>
        <v>0</v>
      </c>
      <c r="O54" s="46">
        <v>19</v>
      </c>
      <c r="P54" s="60">
        <f>SUM(J54:N54)</f>
        <v>0</v>
      </c>
      <c r="S54" s="113"/>
    </row>
    <row r="55" spans="1:19" ht="64.5" customHeight="1" x14ac:dyDescent="0.35">
      <c r="A55" s="46">
        <v>20</v>
      </c>
      <c r="B55" s="129" t="s">
        <v>552</v>
      </c>
      <c r="C55" s="129"/>
      <c r="D55" s="129"/>
      <c r="E55" s="129"/>
      <c r="F55" s="129"/>
      <c r="G55" s="129"/>
      <c r="H55" s="129"/>
      <c r="I55" s="132"/>
      <c r="J55" s="61">
        <f>IFERROR(IF(AND($P46&lt;=0,$P49&lt;=0,$P50&lt;=0),J52*0.04,0),0)</f>
        <v>0</v>
      </c>
      <c r="K55" s="61">
        <f>IFERROR(IF(AND($P46&lt;=0,$P49&lt;=0,$P50&lt;=0),K52*0.04,0),0)</f>
        <v>0</v>
      </c>
      <c r="L55" s="61">
        <f>IFERROR(IF(AND($P46&lt;=0,$P49&lt;=0,$P50&lt;=0),L52*0.04,0),0)</f>
        <v>0</v>
      </c>
      <c r="M55" s="61">
        <f>IFERROR(IF(AND($P46&lt;=0,$P49&lt;=0,$P50&lt;=0),M52*0.04,0),0)</f>
        <v>0</v>
      </c>
      <c r="N55" s="61">
        <f>IFERROR(IF(AND($P46&lt;=0,$P49&lt;=0,$P50&lt;=0),N52*0.04,0),0)</f>
        <v>0</v>
      </c>
      <c r="O55" s="46">
        <v>20</v>
      </c>
      <c r="P55" s="60">
        <f t="shared" ref="P55" si="4">SUM(J55:N55)</f>
        <v>0</v>
      </c>
    </row>
    <row r="56" spans="1:19" ht="66.5" customHeight="1" thickBot="1" x14ac:dyDescent="0.4">
      <c r="A56" s="46">
        <v>21</v>
      </c>
      <c r="B56" s="131" t="s">
        <v>562</v>
      </c>
      <c r="C56" s="131"/>
      <c r="D56" s="131"/>
      <c r="E56" s="131"/>
      <c r="F56" s="131"/>
      <c r="G56" s="131"/>
      <c r="H56" s="131"/>
      <c r="I56" s="131"/>
      <c r="J56" s="61">
        <f>IFERROR(IF(AND(J52&gt;0,$P45=0,$P46=0,$P47=0,$P48=0,$P49=0),J52*0.03,0),0)</f>
        <v>0</v>
      </c>
      <c r="K56" s="61">
        <f>IFERROR(IF(AND(K52&gt;0,$P45=0,$P46=0,$P47=0,$P48=0,$P49=0),K52*0.03,0),0)</f>
        <v>0</v>
      </c>
      <c r="L56" s="61">
        <f>IFERROR(IF(AND(L52&gt;0,$P45=0,$P46=0,$P47=0,$P48=0,$P49=0),L52*0.03,0),0)</f>
        <v>0</v>
      </c>
      <c r="M56" s="61">
        <f>IFERROR(IF(AND(M52&gt;0,$P45=0,$P46=0,$P47=0,$P48=0,$P49=0),M52*0.03,0),0)</f>
        <v>0</v>
      </c>
      <c r="N56" s="61">
        <f>IFERROR(IF(AND(N52&gt;0,$P45=0,$P46=0,$P47=0,$P48=0,$P49=0),N52*0.03,0),0)</f>
        <v>0</v>
      </c>
      <c r="O56" s="46">
        <v>21</v>
      </c>
      <c r="P56" s="60">
        <f t="shared" si="3"/>
        <v>0</v>
      </c>
    </row>
    <row r="57" spans="1:19" ht="93.5" customHeight="1" thickBot="1" x14ac:dyDescent="0.4">
      <c r="A57" s="46">
        <v>22</v>
      </c>
      <c r="B57" s="135" t="s">
        <v>549</v>
      </c>
      <c r="C57" s="136"/>
      <c r="D57" s="136"/>
      <c r="E57" s="136"/>
      <c r="F57" s="136"/>
      <c r="G57" s="136"/>
      <c r="H57" s="221"/>
      <c r="I57" s="119"/>
      <c r="J57" s="61">
        <f>IFERROR(IF(I57&gt;0,(J32/P32)*I57,0),0)</f>
        <v>0</v>
      </c>
      <c r="K57" s="61">
        <f>IFERROR(IF(I57&gt;0,(K32/P32)*I57,0),0)</f>
        <v>0</v>
      </c>
      <c r="L57" s="61">
        <f>IFERROR(IF(I57&gt;0,(L32/P32)*I57,0),0)</f>
        <v>0</v>
      </c>
      <c r="M57" s="61">
        <f>IFERROR(IF(I57&gt;0,(M32/P32)*I57,0),0)</f>
        <v>0</v>
      </c>
      <c r="N57" s="61">
        <f>IFERROR(IF(I57&gt;0,(N32/P32)*I57,0),0)</f>
        <v>0</v>
      </c>
      <c r="O57" s="46">
        <v>22</v>
      </c>
      <c r="P57" s="60">
        <f t="shared" si="3"/>
        <v>0</v>
      </c>
    </row>
    <row r="58" spans="1:19" ht="40" customHeight="1" x14ac:dyDescent="0.35">
      <c r="A58" s="46">
        <v>23</v>
      </c>
      <c r="B58" s="204" t="s">
        <v>20</v>
      </c>
      <c r="C58" s="204"/>
      <c r="D58" s="204"/>
      <c r="E58" s="204"/>
      <c r="F58" s="204"/>
      <c r="G58" s="204"/>
      <c r="H58" s="204"/>
      <c r="I58" s="204"/>
      <c r="J58" s="31"/>
      <c r="K58" s="31"/>
      <c r="L58" s="31"/>
      <c r="M58" s="31"/>
      <c r="N58" s="31"/>
      <c r="O58" s="46">
        <v>23</v>
      </c>
      <c r="P58" s="60">
        <f t="shared" si="3"/>
        <v>0</v>
      </c>
    </row>
    <row r="59" spans="1:19" ht="57" customHeight="1" x14ac:dyDescent="0.35">
      <c r="A59" s="46">
        <v>24</v>
      </c>
      <c r="B59" s="130" t="s">
        <v>575</v>
      </c>
      <c r="C59" s="130"/>
      <c r="D59" s="130"/>
      <c r="E59" s="130"/>
      <c r="F59" s="130"/>
      <c r="G59" s="130"/>
      <c r="H59" s="130"/>
      <c r="I59" s="130"/>
      <c r="J59" s="61">
        <f>IFERROR(IF(AND($P46&lt;=0,$P49&lt;=0),J52*0.016,0),0)</f>
        <v>0</v>
      </c>
      <c r="K59" s="61">
        <f>IFERROR(IF(AND($P46&lt;=0,$P49&lt;=0),K52*0.016,0),0)</f>
        <v>0</v>
      </c>
      <c r="L59" s="61">
        <f>IFERROR(IF(AND($P46&lt;=0,$P49&lt;=0),L52*0.016,0),0)</f>
        <v>0</v>
      </c>
      <c r="M59" s="61">
        <f>IFERROR(IF(AND($P46&lt;=0,$P49&lt;=0),M52*0.016,0),0)</f>
        <v>0</v>
      </c>
      <c r="N59" s="61">
        <f>IFERROR(IF(AND($P46&lt;=0,$P49&lt;=0),N52*0.016,0),0)</f>
        <v>0</v>
      </c>
      <c r="O59" s="46">
        <v>24</v>
      </c>
      <c r="P59" s="60">
        <f t="shared" ref="P59" si="5">SUM(J59:N59)</f>
        <v>0</v>
      </c>
    </row>
    <row r="60" spans="1:19" ht="42.5" customHeight="1" x14ac:dyDescent="0.35">
      <c r="A60" s="46">
        <v>25</v>
      </c>
      <c r="B60" s="213" t="s">
        <v>122</v>
      </c>
      <c r="C60" s="214"/>
      <c r="D60" s="214"/>
      <c r="E60" s="214"/>
      <c r="F60" s="214"/>
      <c r="G60" s="214"/>
      <c r="H60" s="214"/>
      <c r="I60" s="215"/>
      <c r="J60" s="62">
        <f>IFERROR(J51+J53+J55+J56+J57+J54+J58,"-")</f>
        <v>0</v>
      </c>
      <c r="K60" s="62">
        <f>IFERROR(K51+K53+K55+K56+K57+K54+K58,0)</f>
        <v>0</v>
      </c>
      <c r="L60" s="62">
        <f>IFERROR(L51+L53+L55+L56+L57+L54+L58,0)</f>
        <v>0</v>
      </c>
      <c r="M60" s="62">
        <f>IFERROR(M51+M53+M55+M56+M57+M54+M58,0)</f>
        <v>0</v>
      </c>
      <c r="N60" s="62">
        <f>IFERROR(N51+N53+N55+N56+N57+N54+N58,0)</f>
        <v>0</v>
      </c>
      <c r="O60" s="46">
        <v>25</v>
      </c>
      <c r="P60" s="59">
        <f t="shared" si="3"/>
        <v>0</v>
      </c>
    </row>
    <row r="61" spans="1:19" ht="49" customHeight="1" x14ac:dyDescent="0.35">
      <c r="A61" s="216" t="s">
        <v>121</v>
      </c>
      <c r="B61" s="217"/>
      <c r="C61" s="217"/>
      <c r="D61" s="217"/>
      <c r="E61" s="217"/>
      <c r="F61" s="217"/>
      <c r="G61" s="217"/>
      <c r="H61" s="217"/>
      <c r="I61" s="217"/>
      <c r="J61" s="217"/>
      <c r="K61" s="217"/>
      <c r="L61" s="217"/>
      <c r="M61" s="217"/>
      <c r="N61" s="217"/>
      <c r="O61" s="217"/>
      <c r="P61" s="218"/>
    </row>
    <row r="62" spans="1:19" ht="26.5" customHeight="1" x14ac:dyDescent="0.35">
      <c r="A62" s="46">
        <v>26</v>
      </c>
      <c r="B62" s="219" t="s">
        <v>172</v>
      </c>
      <c r="C62" s="126"/>
      <c r="D62" s="126"/>
      <c r="E62" s="126"/>
      <c r="F62" s="126"/>
      <c r="G62" s="126"/>
      <c r="H62" s="126"/>
      <c r="I62" s="127"/>
      <c r="J62" s="114"/>
      <c r="K62" s="114"/>
      <c r="L62" s="114"/>
      <c r="M62" s="114"/>
      <c r="N62" s="114"/>
      <c r="O62" s="46">
        <v>26</v>
      </c>
      <c r="P62" s="47">
        <f t="shared" ref="P62" si="6">SUM(J62:N62)</f>
        <v>0</v>
      </c>
    </row>
    <row r="63" spans="1:19" ht="77.5" customHeight="1" x14ac:dyDescent="0.35">
      <c r="A63" s="196" t="s">
        <v>21</v>
      </c>
      <c r="B63" s="197"/>
      <c r="C63" s="197"/>
      <c r="D63" s="197"/>
      <c r="E63" s="197"/>
      <c r="F63" s="197"/>
      <c r="G63" s="197"/>
      <c r="H63" s="197"/>
      <c r="I63" s="197"/>
      <c r="J63" s="63" t="str">
        <f>IF(C7="Church Name - Dropdown","Church A",C7)</f>
        <v>Church A</v>
      </c>
      <c r="K63" s="63" t="str">
        <f>IF(F7="Church Name - Dropdown","Church B",F7)</f>
        <v>Church B</v>
      </c>
      <c r="L63" s="63" t="str">
        <f>IF(J7="Church Name - Dropdown","Church C",J7)</f>
        <v>Church C</v>
      </c>
      <c r="M63" s="63" t="str">
        <f>IF(M7="Church Name - Dropdown","Church D",M7)</f>
        <v>Church D</v>
      </c>
      <c r="N63" s="63" t="str">
        <f>IF(O7="Church Name - Dropdown","Church E",O7)</f>
        <v>Church E</v>
      </c>
      <c r="O63" s="64"/>
      <c r="P63" s="65" t="s">
        <v>10</v>
      </c>
    </row>
    <row r="64" spans="1:19" ht="55" customHeight="1" x14ac:dyDescent="0.35">
      <c r="A64" s="46">
        <v>27</v>
      </c>
      <c r="B64" s="133" t="s">
        <v>560</v>
      </c>
      <c r="C64" s="134"/>
      <c r="D64" s="134"/>
      <c r="E64" s="134"/>
      <c r="F64" s="134"/>
      <c r="G64" s="134"/>
      <c r="H64" s="134"/>
      <c r="I64" s="212"/>
      <c r="J64" s="66">
        <f>IFERROR(SUM(J32+J60+J62),0)</f>
        <v>0</v>
      </c>
      <c r="K64" s="66">
        <f>IFERROR(SUM(K32+K60+K62),0)</f>
        <v>0</v>
      </c>
      <c r="L64" s="66">
        <f>IFERROR(SUM(L32+L60+L62),0)</f>
        <v>0</v>
      </c>
      <c r="M64" s="66">
        <f>IFERROR(SUM(M32+M60+M62),0)</f>
        <v>0</v>
      </c>
      <c r="N64" s="66">
        <f>IFERROR(SUM(N32+N60+N62),0)</f>
        <v>0</v>
      </c>
      <c r="O64" s="46">
        <v>27</v>
      </c>
      <c r="P64" s="67">
        <f>SUM(J64:N64)</f>
        <v>0</v>
      </c>
    </row>
    <row r="65" spans="1:16" x14ac:dyDescent="0.35">
      <c r="A65" s="211"/>
      <c r="B65" s="211"/>
      <c r="C65" s="211"/>
      <c r="D65" s="211"/>
      <c r="E65" s="211"/>
      <c r="F65" s="211"/>
      <c r="G65" s="211"/>
      <c r="H65" s="211"/>
      <c r="I65" s="211"/>
      <c r="J65" s="211"/>
      <c r="K65" s="211"/>
      <c r="L65" s="211"/>
      <c r="M65" s="211"/>
      <c r="N65" s="211"/>
      <c r="O65" s="211"/>
      <c r="P65" s="211"/>
    </row>
    <row r="66" spans="1:16" ht="45.5" customHeight="1" x14ac:dyDescent="0.35">
      <c r="A66" s="208" t="s">
        <v>551</v>
      </c>
      <c r="B66" s="209"/>
      <c r="C66" s="209"/>
      <c r="D66" s="209"/>
      <c r="E66" s="209"/>
      <c r="F66" s="209"/>
      <c r="G66" s="209"/>
      <c r="H66" s="209"/>
      <c r="I66" s="209"/>
      <c r="J66" s="209"/>
      <c r="K66" s="209"/>
      <c r="L66" s="209"/>
      <c r="M66" s="209"/>
      <c r="N66" s="209"/>
      <c r="O66" s="209"/>
      <c r="P66" s="210"/>
    </row>
    <row r="67" spans="1:16" ht="32.5" customHeight="1" x14ac:dyDescent="0.35">
      <c r="A67" s="133" t="s">
        <v>165</v>
      </c>
      <c r="B67" s="134"/>
      <c r="C67" s="134"/>
      <c r="D67" s="134"/>
      <c r="E67" s="134"/>
      <c r="F67" s="134"/>
      <c r="G67" s="134"/>
      <c r="H67" s="134"/>
      <c r="I67" s="212"/>
      <c r="J67" s="104"/>
      <c r="K67" s="104"/>
      <c r="L67" s="104"/>
      <c r="M67" s="104"/>
      <c r="N67" s="104"/>
      <c r="O67" s="69"/>
      <c r="P67" s="68">
        <f>SUM(J67:N67)</f>
        <v>0</v>
      </c>
    </row>
    <row r="68" spans="1:16" ht="34" customHeight="1" x14ac:dyDescent="0.35">
      <c r="A68" s="133" t="s">
        <v>166</v>
      </c>
      <c r="B68" s="134"/>
      <c r="C68" s="134"/>
      <c r="D68" s="134"/>
      <c r="E68" s="134"/>
      <c r="F68" s="134"/>
      <c r="G68" s="134"/>
      <c r="H68" s="134"/>
      <c r="I68" s="212"/>
      <c r="J68" s="104"/>
      <c r="K68" s="104"/>
      <c r="L68" s="104"/>
      <c r="M68" s="104"/>
      <c r="N68" s="104"/>
      <c r="O68" s="69"/>
      <c r="P68" s="68">
        <f>SUM(J68:N68)</f>
        <v>0</v>
      </c>
    </row>
    <row r="69" spans="1:16" ht="26" customHeight="1" x14ac:dyDescent="0.35">
      <c r="A69" s="133" t="s">
        <v>547</v>
      </c>
      <c r="B69" s="134"/>
      <c r="C69" s="134"/>
      <c r="D69" s="134"/>
      <c r="E69" s="134"/>
      <c r="F69" s="134"/>
      <c r="G69" s="134"/>
      <c r="H69" s="134"/>
      <c r="I69" s="212"/>
      <c r="J69" s="104"/>
      <c r="K69" s="104"/>
      <c r="L69" s="104"/>
      <c r="M69" s="104"/>
      <c r="N69" s="104"/>
      <c r="O69" s="69"/>
      <c r="P69" s="68">
        <f>SUM(J69:N69)</f>
        <v>0</v>
      </c>
    </row>
    <row r="70" spans="1:16" ht="28" customHeight="1" x14ac:dyDescent="0.35">
      <c r="A70" s="133" t="s">
        <v>116</v>
      </c>
      <c r="B70" s="134"/>
      <c r="C70" s="134"/>
      <c r="D70" s="134"/>
      <c r="E70" s="134"/>
      <c r="F70" s="134"/>
      <c r="G70" s="134"/>
      <c r="H70" s="134"/>
      <c r="I70" s="212"/>
      <c r="J70" s="68">
        <f>SUM(J67:J69)</f>
        <v>0</v>
      </c>
      <c r="K70" s="68">
        <f>SUM(K67:K69)</f>
        <v>0</v>
      </c>
      <c r="L70" s="68">
        <f>SUM(L67:L69)</f>
        <v>0</v>
      </c>
      <c r="M70" s="68">
        <f>SUM(M67:M69)</f>
        <v>0</v>
      </c>
      <c r="N70" s="68">
        <f>SUM(N67:N69)</f>
        <v>0</v>
      </c>
      <c r="O70" s="69"/>
      <c r="P70" s="68">
        <f>SUM(J70:N70)</f>
        <v>0</v>
      </c>
    </row>
    <row r="71" spans="1:16" ht="33.5" customHeight="1" x14ac:dyDescent="0.35">
      <c r="A71" s="133" t="s">
        <v>117</v>
      </c>
      <c r="B71" s="134"/>
      <c r="C71" s="134"/>
      <c r="D71" s="134"/>
      <c r="E71" s="134"/>
      <c r="F71" s="134"/>
      <c r="G71" s="134"/>
      <c r="H71" s="134"/>
      <c r="I71" s="212"/>
      <c r="J71" s="61">
        <f>IFERROR(IF(J64&gt;0,J64-J70,0),0)</f>
        <v>0</v>
      </c>
      <c r="K71" s="61">
        <f>IFERROR(IF(K64&gt;0,K64-K70,0),0)</f>
        <v>0</v>
      </c>
      <c r="L71" s="61">
        <f>IFERROR(IF(L64&gt;0,L64-L70,0),0)</f>
        <v>0</v>
      </c>
      <c r="M71" s="61">
        <f>IFERROR(IF(M64&gt;0,M64-M70,0),0)</f>
        <v>0</v>
      </c>
      <c r="N71" s="61">
        <f>IFERROR(IF(N64&gt;0,N64-N70,0),0)</f>
        <v>0</v>
      </c>
      <c r="O71" s="69"/>
      <c r="P71" s="68">
        <f>SUM(J71:N71)</f>
        <v>0</v>
      </c>
    </row>
    <row r="72" spans="1:16" x14ac:dyDescent="0.35">
      <c r="A72" s="70"/>
      <c r="B72" s="71"/>
      <c r="C72" s="71"/>
      <c r="D72" s="71"/>
      <c r="E72" s="71"/>
      <c r="F72" s="71"/>
      <c r="G72" s="71"/>
      <c r="H72" s="71"/>
      <c r="I72" s="71"/>
      <c r="J72" s="72"/>
      <c r="K72" s="72"/>
      <c r="L72" s="72"/>
      <c r="M72" s="72"/>
      <c r="N72" s="72"/>
      <c r="O72" s="73"/>
      <c r="P72" s="72"/>
    </row>
    <row r="73" spans="1:16" ht="21.5" customHeight="1" x14ac:dyDescent="0.35">
      <c r="A73" s="220" t="s">
        <v>22</v>
      </c>
      <c r="B73" s="220"/>
      <c r="C73" s="220"/>
      <c r="D73" s="220"/>
      <c r="E73" s="220"/>
      <c r="F73" s="220"/>
      <c r="G73" s="220"/>
      <c r="H73" s="220"/>
      <c r="I73" s="220"/>
      <c r="J73" s="220"/>
      <c r="K73" s="220"/>
      <c r="L73" s="220"/>
      <c r="M73" s="220"/>
      <c r="N73" s="220"/>
      <c r="O73" s="220"/>
      <c r="P73" s="220"/>
    </row>
    <row r="74" spans="1:16" ht="33" customHeight="1" x14ac:dyDescent="0.35">
      <c r="A74" s="220"/>
      <c r="B74" s="220"/>
      <c r="C74" s="220"/>
      <c r="D74" s="220"/>
      <c r="E74" s="220"/>
      <c r="F74" s="220"/>
      <c r="G74" s="220"/>
      <c r="H74" s="220"/>
      <c r="I74" s="220"/>
      <c r="J74" s="220"/>
      <c r="K74" s="220"/>
      <c r="L74" s="220"/>
      <c r="M74" s="220"/>
      <c r="N74" s="220"/>
      <c r="O74" s="220"/>
      <c r="P74" s="220"/>
    </row>
    <row r="75" spans="1:16" x14ac:dyDescent="0.35">
      <c r="A75" s="74"/>
      <c r="B75" s="74"/>
      <c r="C75" s="74"/>
      <c r="D75" s="74"/>
      <c r="E75" s="74"/>
      <c r="F75" s="74"/>
      <c r="G75" s="74"/>
      <c r="H75" s="74"/>
      <c r="I75" s="74"/>
      <c r="J75" s="74"/>
      <c r="K75" s="74"/>
      <c r="L75" s="74"/>
      <c r="M75" s="74"/>
      <c r="N75" s="74"/>
      <c r="O75" s="74"/>
      <c r="P75" s="74"/>
    </row>
    <row r="76" spans="1:16" x14ac:dyDescent="0.35">
      <c r="A76" s="205" t="s">
        <v>167</v>
      </c>
      <c r="B76" s="205"/>
      <c r="C76" s="205"/>
      <c r="D76" s="205"/>
      <c r="E76" s="205"/>
      <c r="F76" s="205"/>
      <c r="G76" s="205"/>
      <c r="H76" s="205"/>
      <c r="I76" s="205"/>
      <c r="J76" s="205"/>
      <c r="K76" s="205"/>
      <c r="L76" s="205"/>
      <c r="M76" s="205"/>
      <c r="N76" s="205"/>
      <c r="O76" s="205"/>
      <c r="P76" s="205"/>
    </row>
    <row r="77" spans="1:16" x14ac:dyDescent="0.35">
      <c r="A77" s="205"/>
      <c r="B77" s="205"/>
      <c r="C77" s="205"/>
      <c r="D77" s="205"/>
      <c r="E77" s="205"/>
      <c r="F77" s="205"/>
      <c r="G77" s="205"/>
      <c r="H77" s="205"/>
      <c r="I77" s="205"/>
      <c r="J77" s="205"/>
      <c r="K77" s="205"/>
      <c r="L77" s="205"/>
      <c r="M77" s="205"/>
      <c r="N77" s="205"/>
      <c r="O77" s="205"/>
      <c r="P77" s="205"/>
    </row>
    <row r="78" spans="1:16" ht="21.65" customHeight="1" x14ac:dyDescent="0.35">
      <c r="A78" s="205"/>
      <c r="B78" s="205"/>
      <c r="C78" s="205"/>
      <c r="D78" s="205"/>
      <c r="E78" s="205"/>
      <c r="F78" s="205"/>
      <c r="G78" s="205"/>
      <c r="H78" s="205"/>
      <c r="I78" s="205"/>
      <c r="J78" s="205"/>
      <c r="K78" s="205"/>
      <c r="L78" s="205"/>
      <c r="M78" s="205"/>
      <c r="N78" s="205"/>
      <c r="O78" s="205"/>
      <c r="P78" s="205"/>
    </row>
    <row r="79" spans="1:16" ht="20" customHeight="1" x14ac:dyDescent="0.4">
      <c r="A79" s="124" t="s">
        <v>578</v>
      </c>
      <c r="B79" s="124"/>
      <c r="C79" s="124"/>
      <c r="D79" s="124"/>
      <c r="E79" s="124"/>
      <c r="F79" s="124"/>
      <c r="G79" s="124"/>
      <c r="H79" s="124"/>
      <c r="I79" s="124"/>
      <c r="J79" s="124"/>
      <c r="K79" s="124"/>
      <c r="L79" s="124"/>
      <c r="M79" s="124"/>
      <c r="N79" s="124"/>
      <c r="O79" s="124"/>
      <c r="P79" s="124"/>
    </row>
    <row r="80" spans="1:16" ht="30.5" customHeight="1" x14ac:dyDescent="0.35">
      <c r="A80" s="206" t="s">
        <v>23</v>
      </c>
      <c r="B80" s="206"/>
      <c r="C80" s="206"/>
      <c r="D80" s="206"/>
      <c r="E80" s="206"/>
      <c r="F80" s="207"/>
      <c r="G80" s="207"/>
      <c r="H80" s="207"/>
      <c r="I80" s="207"/>
      <c r="J80" s="207"/>
      <c r="K80" s="76"/>
      <c r="L80" s="76"/>
      <c r="M80" s="76"/>
      <c r="N80" s="76"/>
      <c r="O80" s="76"/>
      <c r="P80" s="76"/>
    </row>
    <row r="81" spans="1:16" x14ac:dyDescent="0.35">
      <c r="A81" s="77"/>
      <c r="B81" s="77"/>
      <c r="C81" s="77"/>
      <c r="D81" s="78"/>
      <c r="E81" s="78"/>
      <c r="F81" s="78"/>
      <c r="G81" s="78"/>
      <c r="H81" s="78"/>
      <c r="I81" s="78"/>
      <c r="J81" s="76"/>
      <c r="K81" s="76"/>
      <c r="L81" s="76"/>
      <c r="M81" s="76"/>
      <c r="N81" s="76"/>
      <c r="O81" s="76"/>
      <c r="P81" s="76"/>
    </row>
    <row r="82" spans="1:16" ht="16" customHeight="1" x14ac:dyDescent="0.4">
      <c r="A82" s="77"/>
      <c r="B82" s="77"/>
      <c r="C82" s="77"/>
      <c r="D82" s="145" t="s">
        <v>24</v>
      </c>
      <c r="E82" s="145"/>
      <c r="F82" s="145"/>
      <c r="G82" s="145"/>
      <c r="H82" s="145"/>
      <c r="I82" s="145"/>
      <c r="K82" s="79" t="s">
        <v>25</v>
      </c>
      <c r="L82" s="175" t="s">
        <v>26</v>
      </c>
      <c r="M82" s="175"/>
      <c r="N82" s="175"/>
      <c r="O82" s="175"/>
      <c r="P82" s="175"/>
    </row>
    <row r="83" spans="1:16" ht="29" customHeight="1" x14ac:dyDescent="0.35">
      <c r="A83" s="176" t="s">
        <v>27</v>
      </c>
      <c r="B83" s="176"/>
      <c r="C83" s="176"/>
      <c r="D83" s="176"/>
      <c r="E83" s="174"/>
      <c r="F83" s="174"/>
      <c r="G83" s="174"/>
      <c r="H83" s="174"/>
      <c r="I83" s="174"/>
      <c r="J83" s="174"/>
      <c r="K83" s="115"/>
      <c r="L83" s="174"/>
      <c r="M83" s="174"/>
      <c r="N83" s="174"/>
      <c r="O83" s="174"/>
      <c r="P83" s="174"/>
    </row>
    <row r="84" spans="1:16" ht="30.5" customHeight="1" x14ac:dyDescent="0.35">
      <c r="A84" s="176" t="str">
        <f>_xlfn.CONCAT("Church Council Chair - ",IF(AND(C7&gt;0,C7&lt;&gt;"Church Name - Dropdown"),C7,"Church Council Chair A"))</f>
        <v>Church Council Chair - Church Council Chair A</v>
      </c>
      <c r="B84" s="176"/>
      <c r="C84" s="176"/>
      <c r="D84" s="176"/>
      <c r="E84" s="173"/>
      <c r="F84" s="173"/>
      <c r="G84" s="173"/>
      <c r="H84" s="173"/>
      <c r="I84" s="173"/>
      <c r="J84" s="173"/>
      <c r="K84" s="115"/>
      <c r="L84" s="173"/>
      <c r="M84" s="173"/>
      <c r="N84" s="173"/>
      <c r="O84" s="173"/>
      <c r="P84" s="173"/>
    </row>
    <row r="85" spans="1:16" ht="32.5" customHeight="1" x14ac:dyDescent="0.35">
      <c r="A85" s="176" t="str">
        <f>_xlfn.CONCAT("Church Council Chair - ",IF(AND(F7&gt;0,F7&lt;&gt;"Church Name - Dropdown"),F7,"Church Council Chair B:"))</f>
        <v>Church Council Chair - Church Council Chair B:</v>
      </c>
      <c r="B85" s="176"/>
      <c r="C85" s="176"/>
      <c r="D85" s="176"/>
      <c r="E85" s="173"/>
      <c r="F85" s="173"/>
      <c r="G85" s="173"/>
      <c r="H85" s="173"/>
      <c r="I85" s="173"/>
      <c r="J85" s="173"/>
      <c r="K85" s="116"/>
      <c r="L85" s="173"/>
      <c r="M85" s="173"/>
      <c r="N85" s="173"/>
      <c r="O85" s="173"/>
      <c r="P85" s="173"/>
    </row>
    <row r="86" spans="1:16" ht="32" customHeight="1" x14ac:dyDescent="0.35">
      <c r="A86" s="176" t="str">
        <f>_xlfn.CONCAT("Church Council Chair - ",IF(AND(J7&gt;0,J7&lt;&gt;"Church Name - Dropdown"),J7,"Church Council Chair C:"))</f>
        <v>Church Council Chair - Church Council Chair C:</v>
      </c>
      <c r="B86" s="176"/>
      <c r="C86" s="176"/>
      <c r="D86" s="176"/>
      <c r="E86" s="173"/>
      <c r="F86" s="173"/>
      <c r="G86" s="173"/>
      <c r="H86" s="173"/>
      <c r="I86" s="173"/>
      <c r="J86" s="173"/>
      <c r="K86" s="117"/>
      <c r="L86" s="177"/>
      <c r="M86" s="177"/>
      <c r="N86" s="177"/>
      <c r="O86" s="177"/>
      <c r="P86" s="177"/>
    </row>
    <row r="87" spans="1:16" ht="32" customHeight="1" x14ac:dyDescent="0.35">
      <c r="A87" s="176" t="str">
        <f>_xlfn.CONCAT("Church Council Chair - ",IF(AND(M7&gt;0,M7&lt;&gt;"Church Name - Dropdown"),M7,"Church Council Chair D:"))</f>
        <v>Church Council Chair - Church Council Chair D:</v>
      </c>
      <c r="B87" s="176"/>
      <c r="C87" s="176"/>
      <c r="D87" s="176"/>
      <c r="E87" s="173"/>
      <c r="F87" s="173"/>
      <c r="G87" s="173"/>
      <c r="H87" s="173"/>
      <c r="I87" s="173"/>
      <c r="J87" s="173"/>
      <c r="K87" s="117"/>
      <c r="L87" s="177"/>
      <c r="M87" s="177"/>
      <c r="N87" s="177"/>
      <c r="O87" s="177"/>
      <c r="P87" s="177"/>
    </row>
    <row r="88" spans="1:16" ht="32.5" customHeight="1" x14ac:dyDescent="0.35">
      <c r="A88" s="176" t="str">
        <f>_xlfn.CONCAT("Church Council Chair - ",IF(AND(O7&gt;0,O7&lt;&gt;"Church Name - Dropdown"),O7,"Church Council Chair E:"))</f>
        <v>Church Council Chair - Church Council Chair E:</v>
      </c>
      <c r="B88" s="176"/>
      <c r="C88" s="176"/>
      <c r="D88" s="176"/>
      <c r="E88" s="173"/>
      <c r="F88" s="173"/>
      <c r="G88" s="173"/>
      <c r="H88" s="173"/>
      <c r="I88" s="173"/>
      <c r="J88" s="173"/>
      <c r="K88" s="116"/>
      <c r="L88" s="177"/>
      <c r="M88" s="177"/>
      <c r="N88" s="177"/>
      <c r="O88" s="177"/>
      <c r="P88" s="177"/>
    </row>
    <row r="89" spans="1:16" ht="32.5" customHeight="1" x14ac:dyDescent="0.35">
      <c r="A89" s="176" t="str">
        <f>_xlfn.CONCAT("SPRC Chair - ",IF(AND(C7&gt;0,C7&lt;&gt;"Church Name - Dropdown"),C7,"SPRC Chair A:"))</f>
        <v>SPRC Chair - SPRC Chair A:</v>
      </c>
      <c r="B89" s="176"/>
      <c r="C89" s="176"/>
      <c r="D89" s="176"/>
      <c r="E89" s="173"/>
      <c r="F89" s="173"/>
      <c r="G89" s="173"/>
      <c r="H89" s="173"/>
      <c r="I89" s="173"/>
      <c r="J89" s="173"/>
      <c r="K89" s="115"/>
      <c r="L89" s="173"/>
      <c r="M89" s="173"/>
      <c r="N89" s="173"/>
      <c r="O89" s="173"/>
      <c r="P89" s="173"/>
    </row>
    <row r="90" spans="1:16" ht="31" customHeight="1" x14ac:dyDescent="0.35">
      <c r="A90" s="176" t="str">
        <f>_xlfn.CONCAT("SPRC Chair - ",IF(AND(F7&gt;0,F7&lt;&gt;"Church Name - Dropdown"),F7,"SPRC Chair B:"))</f>
        <v>SPRC Chair - SPRC Chair B:</v>
      </c>
      <c r="B90" s="176"/>
      <c r="C90" s="176"/>
      <c r="D90" s="176"/>
      <c r="E90" s="173"/>
      <c r="F90" s="173"/>
      <c r="G90" s="173"/>
      <c r="H90" s="173"/>
      <c r="I90" s="173"/>
      <c r="J90" s="173"/>
      <c r="K90" s="116"/>
      <c r="L90" s="173"/>
      <c r="M90" s="173"/>
      <c r="N90" s="173"/>
      <c r="O90" s="173"/>
      <c r="P90" s="173"/>
    </row>
    <row r="91" spans="1:16" ht="32" customHeight="1" x14ac:dyDescent="0.35">
      <c r="A91" s="176" t="str">
        <f>_xlfn.CONCAT("SPRC Chair - ",IF(AND(J7&gt;0,J7&lt;&gt;"Church Name - Dropdown"),J7,"SPRC Chair C:"))</f>
        <v>SPRC Chair - SPRC Chair C:</v>
      </c>
      <c r="B91" s="176"/>
      <c r="C91" s="176"/>
      <c r="D91" s="176"/>
      <c r="E91" s="173"/>
      <c r="F91" s="173"/>
      <c r="G91" s="173"/>
      <c r="H91" s="173"/>
      <c r="I91" s="173"/>
      <c r="J91" s="173"/>
      <c r="K91" s="116"/>
      <c r="L91" s="173"/>
      <c r="M91" s="173"/>
      <c r="N91" s="173"/>
      <c r="O91" s="173"/>
      <c r="P91" s="173"/>
    </row>
    <row r="92" spans="1:16" ht="32" customHeight="1" x14ac:dyDescent="0.35">
      <c r="A92" s="176" t="str">
        <f>_xlfn.CONCAT("SPRC Chair - ",IF(AND(M7&gt;0,M7&lt;&gt;"Church Name - Dropdown"),M7,"SPRC Chair D:"))</f>
        <v>SPRC Chair - SPRC Chair D:</v>
      </c>
      <c r="B92" s="176"/>
      <c r="C92" s="176"/>
      <c r="D92" s="176"/>
      <c r="E92" s="173"/>
      <c r="F92" s="173"/>
      <c r="G92" s="173"/>
      <c r="H92" s="173"/>
      <c r="I92" s="173"/>
      <c r="J92" s="173"/>
      <c r="K92" s="116"/>
      <c r="L92" s="173"/>
      <c r="M92" s="173"/>
      <c r="N92" s="173"/>
      <c r="O92" s="173"/>
      <c r="P92" s="173"/>
    </row>
    <row r="93" spans="1:16" ht="34" customHeight="1" x14ac:dyDescent="0.35">
      <c r="A93" s="176" t="str">
        <f>_xlfn.CONCAT("SPRC Chair - ",IF(AND(O7&gt;0,O7&lt;&gt;"Church Name - Dropdown"),O7,"SPRC Chair E:"))</f>
        <v>SPRC Chair - SPRC Chair E:</v>
      </c>
      <c r="B93" s="176"/>
      <c r="C93" s="176"/>
      <c r="D93" s="176"/>
      <c r="E93" s="173"/>
      <c r="F93" s="173"/>
      <c r="G93" s="173"/>
      <c r="H93" s="173"/>
      <c r="I93" s="173"/>
      <c r="J93" s="173"/>
      <c r="K93" s="116"/>
      <c r="L93" s="173"/>
      <c r="M93" s="173"/>
      <c r="N93" s="173"/>
      <c r="O93" s="173"/>
      <c r="P93" s="173"/>
    </row>
    <row r="94" spans="1:16" ht="29.5" customHeight="1" x14ac:dyDescent="0.35">
      <c r="A94" s="176" t="s">
        <v>28</v>
      </c>
      <c r="B94" s="176"/>
      <c r="C94" s="176"/>
      <c r="D94" s="176"/>
      <c r="E94" s="173"/>
      <c r="F94" s="173"/>
      <c r="G94" s="173"/>
      <c r="H94" s="173"/>
      <c r="I94" s="173"/>
      <c r="J94" s="173"/>
      <c r="K94" s="116"/>
      <c r="L94" s="80"/>
      <c r="M94" s="80"/>
      <c r="N94" s="80"/>
      <c r="O94" s="80"/>
      <c r="P94" s="80"/>
    </row>
    <row r="95" spans="1:16" x14ac:dyDescent="0.35">
      <c r="A95" s="151"/>
      <c r="B95" s="151"/>
      <c r="C95" s="151"/>
      <c r="D95" s="151"/>
      <c r="E95" s="151"/>
      <c r="F95" s="151"/>
      <c r="G95" s="151"/>
      <c r="H95" s="151"/>
      <c r="I95" s="151"/>
      <c r="J95" s="151"/>
      <c r="K95" s="151"/>
      <c r="L95" s="151"/>
      <c r="M95" s="151"/>
      <c r="N95" s="151"/>
      <c r="O95" s="151"/>
      <c r="P95" s="151"/>
    </row>
    <row r="97" spans="1:16" ht="18.5" x14ac:dyDescent="0.45">
      <c r="A97" s="149" t="s">
        <v>107</v>
      </c>
      <c r="B97" s="152"/>
      <c r="C97" s="152"/>
      <c r="D97" s="152"/>
      <c r="E97" s="152"/>
      <c r="F97" s="152"/>
      <c r="G97" s="152"/>
      <c r="H97" s="152"/>
      <c r="I97" s="152"/>
      <c r="J97" s="152"/>
      <c r="K97" s="152"/>
      <c r="L97" s="152"/>
      <c r="M97" s="152"/>
      <c r="N97" s="152"/>
      <c r="O97" s="152"/>
      <c r="P97" s="152"/>
    </row>
    <row r="99" spans="1:16" x14ac:dyDescent="0.35">
      <c r="A99" s="153" t="s">
        <v>168</v>
      </c>
      <c r="B99" s="153"/>
      <c r="C99" s="153"/>
      <c r="D99" s="153"/>
      <c r="E99" s="153"/>
      <c r="F99" s="153"/>
      <c r="G99" s="153"/>
      <c r="H99" s="153"/>
      <c r="I99" s="153"/>
      <c r="J99" s="153"/>
      <c r="K99" s="153"/>
      <c r="L99" s="153"/>
      <c r="M99" s="153"/>
      <c r="N99" s="153"/>
      <c r="O99" s="153"/>
      <c r="P99" s="153"/>
    </row>
    <row r="100" spans="1:16" x14ac:dyDescent="0.35">
      <c r="A100" s="153"/>
      <c r="B100" s="153"/>
      <c r="C100" s="153"/>
      <c r="D100" s="153"/>
      <c r="E100" s="153"/>
      <c r="F100" s="153"/>
      <c r="G100" s="153"/>
      <c r="H100" s="153"/>
      <c r="I100" s="153"/>
      <c r="J100" s="153"/>
      <c r="K100" s="153"/>
      <c r="L100" s="153"/>
      <c r="M100" s="153"/>
      <c r="N100" s="153"/>
      <c r="O100" s="153"/>
      <c r="P100" s="153"/>
    </row>
    <row r="101" spans="1:16" x14ac:dyDescent="0.35">
      <c r="A101" s="153"/>
      <c r="B101" s="153"/>
      <c r="C101" s="153"/>
      <c r="D101" s="153"/>
      <c r="E101" s="153"/>
      <c r="F101" s="153"/>
      <c r="G101" s="153"/>
      <c r="H101" s="153"/>
      <c r="I101" s="153"/>
      <c r="J101" s="153"/>
      <c r="K101" s="153"/>
      <c r="L101" s="153"/>
      <c r="M101" s="153"/>
      <c r="N101" s="153"/>
      <c r="O101" s="153"/>
      <c r="P101" s="153"/>
    </row>
    <row r="102" spans="1:16" x14ac:dyDescent="0.35">
      <c r="A102" s="153"/>
      <c r="B102" s="153"/>
      <c r="C102" s="153"/>
      <c r="D102" s="153"/>
      <c r="E102" s="153"/>
      <c r="F102" s="153"/>
      <c r="G102" s="153"/>
      <c r="H102" s="153"/>
      <c r="I102" s="153"/>
      <c r="J102" s="153"/>
      <c r="K102" s="153"/>
      <c r="L102" s="153"/>
      <c r="M102" s="153"/>
      <c r="N102" s="153"/>
      <c r="O102" s="153"/>
      <c r="P102" s="153"/>
    </row>
    <row r="103" spans="1:16" x14ac:dyDescent="0.35">
      <c r="A103" s="153"/>
      <c r="B103" s="153"/>
      <c r="C103" s="153"/>
      <c r="D103" s="153"/>
      <c r="E103" s="153"/>
      <c r="F103" s="153"/>
      <c r="G103" s="153"/>
      <c r="H103" s="153"/>
      <c r="I103" s="153"/>
      <c r="J103" s="153"/>
      <c r="K103" s="153"/>
      <c r="L103" s="153"/>
      <c r="M103" s="153"/>
      <c r="N103" s="153"/>
      <c r="O103" s="153"/>
      <c r="P103" s="153"/>
    </row>
    <row r="104" spans="1:16" x14ac:dyDescent="0.35">
      <c r="A104" s="81"/>
      <c r="B104" s="81"/>
      <c r="C104" s="81"/>
      <c r="D104" s="81"/>
      <c r="E104" s="81"/>
      <c r="F104" s="81"/>
      <c r="G104" s="81"/>
      <c r="H104" s="81"/>
      <c r="I104" s="81"/>
      <c r="J104" s="81"/>
      <c r="K104" s="81"/>
      <c r="L104" s="81"/>
      <c r="M104" s="81"/>
      <c r="N104" s="81"/>
      <c r="O104" s="81"/>
      <c r="P104" s="81"/>
    </row>
    <row r="105" spans="1:16" x14ac:dyDescent="0.35">
      <c r="A105" s="154" t="s">
        <v>106</v>
      </c>
      <c r="B105" s="154"/>
      <c r="C105" s="154"/>
      <c r="D105" s="154"/>
      <c r="E105" s="154"/>
      <c r="F105" s="154"/>
      <c r="G105" s="154"/>
      <c r="H105" s="154"/>
      <c r="I105" s="154"/>
      <c r="J105" s="154"/>
      <c r="K105" s="154"/>
      <c r="L105" s="154"/>
      <c r="M105" s="154"/>
      <c r="N105" s="154"/>
      <c r="O105" s="154"/>
      <c r="P105" s="154"/>
    </row>
    <row r="106" spans="1:16" ht="23.15" customHeight="1" x14ac:dyDescent="0.35">
      <c r="A106" s="154"/>
      <c r="B106" s="154"/>
      <c r="C106" s="154"/>
      <c r="D106" s="154"/>
      <c r="E106" s="154"/>
      <c r="F106" s="154"/>
      <c r="G106" s="154"/>
      <c r="H106" s="154"/>
      <c r="I106" s="154"/>
      <c r="J106" s="154"/>
      <c r="K106" s="154"/>
      <c r="L106" s="154"/>
      <c r="M106" s="154"/>
      <c r="N106" s="154"/>
      <c r="O106" s="154"/>
      <c r="P106" s="154"/>
    </row>
    <row r="107" spans="1:16" ht="16" x14ac:dyDescent="0.4">
      <c r="A107" s="82"/>
      <c r="B107" s="82"/>
      <c r="C107" s="82"/>
      <c r="D107" s="82"/>
      <c r="E107" s="82"/>
      <c r="F107" s="82"/>
      <c r="G107" s="82"/>
      <c r="H107" s="82"/>
      <c r="I107" s="82"/>
      <c r="J107" s="82"/>
      <c r="K107" s="82"/>
      <c r="L107" s="82"/>
      <c r="M107" s="82"/>
      <c r="N107" s="82"/>
      <c r="O107" s="82"/>
      <c r="P107" s="82"/>
    </row>
    <row r="108" spans="1:16" ht="28" customHeight="1" x14ac:dyDescent="0.4">
      <c r="A108" s="146" t="s">
        <v>29</v>
      </c>
      <c r="B108" s="146"/>
      <c r="C108" s="147"/>
      <c r="D108" s="147"/>
      <c r="E108" s="147"/>
      <c r="F108" s="147"/>
      <c r="G108" s="83"/>
    </row>
    <row r="109" spans="1:16" ht="26.5" customHeight="1" x14ac:dyDescent="0.4">
      <c r="A109" s="146" t="s">
        <v>30</v>
      </c>
      <c r="B109" s="146"/>
      <c r="C109" s="147"/>
      <c r="D109" s="147"/>
      <c r="E109" s="147"/>
      <c r="F109" s="147"/>
      <c r="G109" s="147"/>
      <c r="H109" s="147"/>
      <c r="I109" s="147"/>
      <c r="J109" s="147"/>
      <c r="K109" s="83"/>
    </row>
    <row r="110" spans="1:16" ht="16.5" thickBot="1" x14ac:dyDescent="0.4">
      <c r="A110" s="84"/>
      <c r="B110" s="84"/>
      <c r="C110" s="84"/>
      <c r="D110" s="84"/>
      <c r="E110" s="84"/>
      <c r="F110" s="84"/>
      <c r="G110" s="84"/>
      <c r="H110" s="84"/>
      <c r="I110" s="84"/>
      <c r="J110" s="84"/>
      <c r="K110" s="84"/>
      <c r="L110" s="84"/>
      <c r="M110" s="84"/>
      <c r="N110" s="84"/>
      <c r="O110" s="84"/>
      <c r="P110" s="84"/>
    </row>
    <row r="111" spans="1:16" x14ac:dyDescent="0.35">
      <c r="A111" s="85"/>
      <c r="P111" s="86"/>
    </row>
    <row r="112" spans="1:16" ht="18.5" x14ac:dyDescent="0.45">
      <c r="A112" s="148" t="s">
        <v>31</v>
      </c>
      <c r="B112" s="149"/>
      <c r="C112" s="149"/>
      <c r="D112" s="149"/>
      <c r="E112" s="149"/>
      <c r="F112" s="149"/>
      <c r="G112" s="149"/>
      <c r="H112" s="149"/>
      <c r="I112" s="149"/>
      <c r="J112" s="149"/>
      <c r="K112" s="149"/>
      <c r="L112" s="149"/>
      <c r="M112" s="149"/>
      <c r="N112" s="149"/>
      <c r="O112" s="149"/>
      <c r="P112" s="150"/>
    </row>
    <row r="113" spans="1:16" x14ac:dyDescent="0.35">
      <c r="A113" s="87"/>
      <c r="P113" s="86"/>
    </row>
    <row r="114" spans="1:16" ht="16" x14ac:dyDescent="0.4">
      <c r="A114" s="88"/>
      <c r="B114" s="89"/>
      <c r="C114" s="90"/>
      <c r="D114" s="90"/>
      <c r="E114" s="90"/>
      <c r="F114" s="90"/>
      <c r="G114" s="155" t="s">
        <v>32</v>
      </c>
      <c r="H114" s="155"/>
      <c r="I114" s="155"/>
      <c r="J114" s="155"/>
      <c r="K114" s="155"/>
      <c r="L114" s="155"/>
      <c r="M114" s="83"/>
      <c r="N114" s="83"/>
      <c r="O114" s="83"/>
      <c r="P114" s="91"/>
    </row>
    <row r="115" spans="1:16" ht="16" x14ac:dyDescent="0.4">
      <c r="A115" s="2"/>
      <c r="B115" s="2"/>
      <c r="C115" s="302" t="str">
        <f>IF(AND(C7&gt;0,C7&lt;&gt;"Church Name - Dropdown"),C7,"CHURCH A:")</f>
        <v>CHURCH A:</v>
      </c>
      <c r="D115" s="302"/>
      <c r="E115" s="302"/>
      <c r="F115" s="302"/>
      <c r="G115" s="75"/>
      <c r="H115" s="75"/>
      <c r="I115" s="297" t="str">
        <f>IF(O37&gt;0, IF(J25&gt;0,"$"&amp;J25,"$0"),"")</f>
        <v/>
      </c>
      <c r="J115" s="297"/>
      <c r="K115" s="297"/>
      <c r="L115" s="297"/>
      <c r="M115" s="83"/>
      <c r="N115" s="83"/>
      <c r="O115" s="83"/>
      <c r="P115" s="91"/>
    </row>
    <row r="116" spans="1:16" ht="16" x14ac:dyDescent="0.4">
      <c r="A116" s="75"/>
      <c r="B116" s="75"/>
      <c r="C116" s="303" t="str">
        <f>IF(AND(F7&gt;0,F7&lt;&gt;"Church Name - Dropdown"),F7,"CHURCH B:")</f>
        <v>CHURCH B:</v>
      </c>
      <c r="D116" s="303"/>
      <c r="E116" s="303"/>
      <c r="F116" s="303"/>
      <c r="G116" s="75"/>
      <c r="H116" s="75"/>
      <c r="I116" s="301" t="str">
        <f>IF(O37&gt;0, IF(K25&gt;0,"$"&amp;K25,"$0"),"")</f>
        <v/>
      </c>
      <c r="J116" s="301"/>
      <c r="K116" s="301"/>
      <c r="L116" s="301"/>
      <c r="M116" s="2"/>
      <c r="N116" s="2"/>
      <c r="O116" s="2"/>
      <c r="P116" s="92"/>
    </row>
    <row r="117" spans="1:16" ht="16" x14ac:dyDescent="0.4">
      <c r="A117" s="2"/>
      <c r="B117" s="2"/>
      <c r="C117" s="295" t="str">
        <f>IF(AND(J7&gt;0,J7&lt;&gt;"Church Name - Dropdown"),J7,"CHURCH C:")</f>
        <v>CHURCH C:</v>
      </c>
      <c r="D117" s="295"/>
      <c r="E117" s="295"/>
      <c r="F117" s="295"/>
      <c r="G117" s="2"/>
      <c r="H117" s="2"/>
      <c r="I117" s="297" t="str">
        <f>IF(O37&gt;0, IF(L25&gt;0,"$"&amp;L25,"$0"),"")</f>
        <v/>
      </c>
      <c r="J117" s="297"/>
      <c r="K117" s="297"/>
      <c r="L117" s="297"/>
      <c r="M117" s="2"/>
      <c r="N117" s="2"/>
      <c r="O117" s="2"/>
      <c r="P117" s="92"/>
    </row>
    <row r="118" spans="1:16" ht="16" x14ac:dyDescent="0.4">
      <c r="A118" s="2"/>
      <c r="B118" s="2"/>
      <c r="C118" s="295" t="str">
        <f>IF(AND(M7&gt;0,M7&lt;&gt;"Church Name - Dropdown"),M7,"CHURCH D:")</f>
        <v>CHURCH D:</v>
      </c>
      <c r="D118" s="295"/>
      <c r="E118" s="295"/>
      <c r="F118" s="295"/>
      <c r="G118" s="2"/>
      <c r="H118" s="2"/>
      <c r="I118" s="298" t="str">
        <f>IF(O37&gt;0, IF(M25&gt;0,"$"&amp;M25,"$0"),"")</f>
        <v/>
      </c>
      <c r="J118" s="298"/>
      <c r="K118" s="298"/>
      <c r="L118" s="298"/>
      <c r="M118" s="93"/>
      <c r="N118" s="93"/>
      <c r="O118" s="93"/>
      <c r="P118" s="94"/>
    </row>
    <row r="119" spans="1:16" ht="16" x14ac:dyDescent="0.4">
      <c r="A119" s="2"/>
      <c r="B119" s="2"/>
      <c r="C119" s="295" t="str">
        <f>IF(AND(O7&gt;0,O7&lt;&gt;"Church Name - Dropdown"),O7,"CHURCH E:")</f>
        <v>CHURCH E:</v>
      </c>
      <c r="D119" s="295"/>
      <c r="E119" s="295"/>
      <c r="F119" s="295"/>
      <c r="G119" s="2"/>
      <c r="H119" s="2"/>
      <c r="I119" s="298" t="str">
        <f>IF(O37&gt;0, IF(N25&gt;0,"$"&amp;N25,"$0"),"")</f>
        <v/>
      </c>
      <c r="J119" s="298"/>
      <c r="K119" s="298"/>
      <c r="L119" s="298"/>
      <c r="M119" s="93"/>
      <c r="N119" s="93"/>
      <c r="O119" s="93"/>
      <c r="P119" s="94"/>
    </row>
    <row r="120" spans="1:16" x14ac:dyDescent="0.35">
      <c r="A120" s="87"/>
      <c r="H120" s="95"/>
      <c r="I120" s="95"/>
      <c r="P120" s="86"/>
    </row>
    <row r="121" spans="1:16" x14ac:dyDescent="0.35">
      <c r="A121" s="139" t="s">
        <v>119</v>
      </c>
      <c r="B121" s="140"/>
      <c r="C121" s="140"/>
      <c r="D121" s="140"/>
      <c r="E121" s="140"/>
      <c r="F121" s="140"/>
      <c r="G121" s="140"/>
      <c r="H121" s="140"/>
      <c r="I121" s="140"/>
      <c r="J121" s="140"/>
      <c r="K121" s="140"/>
      <c r="L121" s="140"/>
      <c r="M121" s="140"/>
      <c r="N121" s="140"/>
      <c r="O121" s="140"/>
      <c r="P121" s="141"/>
    </row>
    <row r="122" spans="1:16" ht="58" customHeight="1" thickBot="1" x14ac:dyDescent="0.4">
      <c r="A122" s="142"/>
      <c r="B122" s="143"/>
      <c r="C122" s="143"/>
      <c r="D122" s="143"/>
      <c r="E122" s="143"/>
      <c r="F122" s="143"/>
      <c r="G122" s="143"/>
      <c r="H122" s="143"/>
      <c r="I122" s="143"/>
      <c r="J122" s="143"/>
      <c r="K122" s="143"/>
      <c r="L122" s="143"/>
      <c r="M122" s="143"/>
      <c r="N122" s="143"/>
      <c r="O122" s="143"/>
      <c r="P122" s="144"/>
    </row>
    <row r="124" spans="1:16" ht="15" thickBot="1" x14ac:dyDescent="0.4">
      <c r="A124" s="96"/>
      <c r="B124" s="96"/>
      <c r="C124" s="96"/>
      <c r="D124" s="96"/>
      <c r="E124" s="96"/>
      <c r="F124" s="96"/>
      <c r="G124" s="96"/>
      <c r="H124" s="96"/>
      <c r="I124" s="96"/>
      <c r="J124" s="96"/>
      <c r="K124" s="96"/>
      <c r="L124" s="96"/>
      <c r="M124" s="96"/>
      <c r="N124" s="96"/>
      <c r="O124" s="96"/>
      <c r="P124" s="96"/>
    </row>
    <row r="125" spans="1:16" x14ac:dyDescent="0.35">
      <c r="A125" s="85"/>
      <c r="P125" s="86"/>
    </row>
    <row r="126" spans="1:16" ht="18.5" x14ac:dyDescent="0.45">
      <c r="A126" s="148" t="s">
        <v>33</v>
      </c>
      <c r="B126" s="149"/>
      <c r="C126" s="149"/>
      <c r="D126" s="149"/>
      <c r="E126" s="149"/>
      <c r="F126" s="149"/>
      <c r="G126" s="149"/>
      <c r="H126" s="149"/>
      <c r="I126" s="149"/>
      <c r="J126" s="149"/>
      <c r="K126" s="149"/>
      <c r="L126" s="149"/>
      <c r="M126" s="149"/>
      <c r="N126" s="149"/>
      <c r="O126" s="149"/>
      <c r="P126" s="150"/>
    </row>
    <row r="127" spans="1:16" x14ac:dyDescent="0.35">
      <c r="A127" s="87"/>
      <c r="P127" s="86"/>
    </row>
    <row r="128" spans="1:16" ht="16" x14ac:dyDescent="0.4">
      <c r="A128" s="97"/>
      <c r="B128" s="98"/>
      <c r="C128" s="90"/>
      <c r="D128" s="90"/>
      <c r="E128" s="90"/>
      <c r="F128" s="90"/>
      <c r="G128" s="300" t="s">
        <v>32</v>
      </c>
      <c r="H128" s="300"/>
      <c r="I128" s="300"/>
      <c r="J128" s="300"/>
      <c r="K128" s="300"/>
      <c r="L128" s="300"/>
      <c r="M128" s="90"/>
      <c r="N128" s="90"/>
      <c r="O128" s="90"/>
      <c r="P128" s="86"/>
    </row>
    <row r="129" spans="1:16" ht="16" x14ac:dyDescent="0.4">
      <c r="A129" s="99"/>
      <c r="B129" s="2"/>
      <c r="C129" s="299" t="str">
        <f>IF(AND(C7&gt;0,C7&lt;&gt;"Church Name - Dropdown"),C7,"CHURCH A:")</f>
        <v>CHURCH A:</v>
      </c>
      <c r="D129" s="299"/>
      <c r="E129" s="299"/>
      <c r="F129" s="299"/>
      <c r="G129" s="100"/>
      <c r="H129" s="100"/>
      <c r="I129" s="297" t="str">
        <f>IF(O37=0, IF(J25&gt;0,"$"&amp;J25,"$0"),"")</f>
        <v>$0</v>
      </c>
      <c r="J129" s="297"/>
      <c r="K129" s="297"/>
      <c r="L129" s="297"/>
      <c r="M129" s="2"/>
      <c r="N129" s="2"/>
      <c r="O129" s="2"/>
      <c r="P129" s="86"/>
    </row>
    <row r="130" spans="1:16" ht="16" x14ac:dyDescent="0.4">
      <c r="A130" s="99"/>
      <c r="B130" s="2"/>
      <c r="C130" s="299" t="str">
        <f>IF(AND(F7&gt;0,F7&lt;&gt;"Church Name - Dropdown"),F7,"CHURCH B:")</f>
        <v>CHURCH B:</v>
      </c>
      <c r="D130" s="299"/>
      <c r="E130" s="299"/>
      <c r="F130" s="299"/>
      <c r="G130" s="2"/>
      <c r="H130" s="2"/>
      <c r="I130" s="298" t="str">
        <f>IF(O37=0, IF(K25&gt;0,"$"&amp;K25,"$0"),"")</f>
        <v>$0</v>
      </c>
      <c r="J130" s="298"/>
      <c r="K130" s="298"/>
      <c r="L130" s="298"/>
      <c r="M130" s="2"/>
      <c r="N130" s="2"/>
      <c r="O130" s="2"/>
      <c r="P130" s="101"/>
    </row>
    <row r="131" spans="1:16" ht="16" x14ac:dyDescent="0.4">
      <c r="A131" s="99"/>
      <c r="B131" s="2"/>
      <c r="C131" s="299" t="str">
        <f>IF(AND(J7&gt;0,J7&lt;&gt;"Church Name - Dropdown"),J7,"CHURCH C:")</f>
        <v>CHURCH C:</v>
      </c>
      <c r="D131" s="299"/>
      <c r="E131" s="299"/>
      <c r="F131" s="299"/>
      <c r="G131" s="2"/>
      <c r="H131" s="2"/>
      <c r="I131" s="298" t="str">
        <f>IF(O37=0, IF(L25&gt;0,"$"&amp;L25,"$0"),"")</f>
        <v>$0</v>
      </c>
      <c r="J131" s="298"/>
      <c r="K131" s="298"/>
      <c r="L131" s="298"/>
      <c r="M131" s="2"/>
      <c r="N131" s="2"/>
      <c r="O131" s="2"/>
      <c r="P131" s="101"/>
    </row>
    <row r="132" spans="1:16" ht="16" x14ac:dyDescent="0.4">
      <c r="A132" s="2"/>
      <c r="B132" s="2"/>
      <c r="C132" s="299" t="str">
        <f>IF(AND(M7&gt;0,M7&lt;&gt;"Church Name - Dropdown"),M7,"CHURCH D:")</f>
        <v>CHURCH D:</v>
      </c>
      <c r="D132" s="299"/>
      <c r="E132" s="299"/>
      <c r="F132" s="299"/>
      <c r="G132" s="2"/>
      <c r="H132" s="2"/>
      <c r="I132" s="298" t="str">
        <f>IF(O37=0, IF(M25&gt;0,"$"&amp;M25,"$0"),"")</f>
        <v>$0</v>
      </c>
      <c r="J132" s="298"/>
      <c r="K132" s="298"/>
      <c r="L132" s="298"/>
      <c r="M132" s="2"/>
      <c r="N132" s="2"/>
      <c r="O132" s="2"/>
      <c r="P132" s="101"/>
    </row>
    <row r="133" spans="1:16" ht="16" x14ac:dyDescent="0.4">
      <c r="A133" s="99"/>
      <c r="B133" s="2"/>
      <c r="C133" s="299" t="str">
        <f>IF(AND(O7&gt;0,O7&lt;&gt;"Church Name - Dropdown"),O7,"CHURCH E:")</f>
        <v>CHURCH E:</v>
      </c>
      <c r="D133" s="299"/>
      <c r="E133" s="299"/>
      <c r="F133" s="299"/>
      <c r="G133" s="2"/>
      <c r="H133" s="2"/>
      <c r="I133" s="298" t="str">
        <f>IF(O37=0, IF(N25&gt;0,"$"&amp;N25,"$0"),"")</f>
        <v>$0</v>
      </c>
      <c r="J133" s="298"/>
      <c r="K133" s="298"/>
      <c r="L133" s="298"/>
      <c r="M133" s="2"/>
      <c r="N133" s="2"/>
      <c r="O133" s="2"/>
      <c r="P133" s="101"/>
    </row>
    <row r="134" spans="1:16" ht="16" x14ac:dyDescent="0.4">
      <c r="A134" s="102"/>
      <c r="B134" s="103"/>
      <c r="P134" s="86"/>
    </row>
    <row r="135" spans="1:16" ht="16" x14ac:dyDescent="0.4">
      <c r="A135" s="102"/>
      <c r="B135" s="103"/>
      <c r="C135" s="95"/>
      <c r="D135" s="95"/>
      <c r="E135" s="95"/>
      <c r="F135" s="95"/>
      <c r="G135" s="296" t="s">
        <v>34</v>
      </c>
      <c r="H135" s="296"/>
      <c r="I135" s="296"/>
      <c r="J135" s="296"/>
      <c r="K135" s="296"/>
      <c r="L135" s="296"/>
      <c r="P135" s="86"/>
    </row>
    <row r="136" spans="1:16" ht="16" x14ac:dyDescent="0.4">
      <c r="A136" s="294"/>
      <c r="B136" s="295"/>
      <c r="C136" s="299" t="str">
        <f>IF(AND(C7&gt;0,C7&lt;&gt;"Church Name - Dropdown"),C7,"CHURCH A:")</f>
        <v>CHURCH A:</v>
      </c>
      <c r="D136" s="299"/>
      <c r="E136" s="299"/>
      <c r="F136" s="299"/>
      <c r="I136" s="297" t="str">
        <f>IF(O37=0, IF(J18&gt;0,"$"&amp;J18,"$0"),"")</f>
        <v>$0</v>
      </c>
      <c r="J136" s="297"/>
      <c r="K136" s="297"/>
      <c r="L136" s="297"/>
      <c r="P136" s="86"/>
    </row>
    <row r="137" spans="1:16" ht="16" x14ac:dyDescent="0.4">
      <c r="A137" s="294"/>
      <c r="B137" s="295"/>
      <c r="C137" s="299" t="str">
        <f>IF(AND(F7&gt;0,F7&lt;&gt;"Church Name - Dropdown"),F7,"CHURCH B:")</f>
        <v>CHURCH B:</v>
      </c>
      <c r="D137" s="299"/>
      <c r="E137" s="299"/>
      <c r="F137" s="299"/>
      <c r="I137" s="298" t="str">
        <f>IF(O37=0, IF(K18&gt;0,"$"&amp;K18,"$0"),"")</f>
        <v>$0</v>
      </c>
      <c r="J137" s="298"/>
      <c r="K137" s="298"/>
      <c r="L137" s="298"/>
      <c r="P137" s="86"/>
    </row>
    <row r="138" spans="1:16" ht="16" x14ac:dyDescent="0.4">
      <c r="A138" s="294"/>
      <c r="B138" s="295"/>
      <c r="C138" s="299" t="str">
        <f>IF(AND(J7&gt;0,J7&lt;&gt;"Church Name - Dropdown"),J7,"CHURCH C:")</f>
        <v>CHURCH C:</v>
      </c>
      <c r="D138" s="299"/>
      <c r="E138" s="299"/>
      <c r="F138" s="299"/>
      <c r="I138" s="298" t="str">
        <f>IF(O37=0, IF(L18&gt;0,"$"&amp;L18,"$0"),"")</f>
        <v>$0</v>
      </c>
      <c r="J138" s="298"/>
      <c r="K138" s="298"/>
      <c r="L138" s="298"/>
      <c r="P138" s="86"/>
    </row>
    <row r="139" spans="1:16" ht="16" x14ac:dyDescent="0.4">
      <c r="A139" s="295"/>
      <c r="B139" s="295"/>
      <c r="C139" s="299" t="str">
        <f>IF(AND(M7&gt;0,M7&lt;&gt;"Church Name - Dropdown"),M7,"CHURCH D:")</f>
        <v>CHURCH D:</v>
      </c>
      <c r="D139" s="299"/>
      <c r="E139" s="299"/>
      <c r="F139" s="299"/>
      <c r="I139" s="298" t="str">
        <f>IF(O37=0, IF(M18&gt;0,"$"&amp;M18,"$0"),"")</f>
        <v>$0</v>
      </c>
      <c r="J139" s="298"/>
      <c r="K139" s="298"/>
      <c r="L139" s="298"/>
      <c r="P139" s="86"/>
    </row>
    <row r="140" spans="1:16" ht="16" x14ac:dyDescent="0.4">
      <c r="A140" s="294"/>
      <c r="B140" s="295"/>
      <c r="C140" s="299" t="str">
        <f>IF(AND(O7&gt;0,O7&lt;&gt;"Church Name - Dropdown"),O7,"CHURCH E:")</f>
        <v>CHURCH E:</v>
      </c>
      <c r="D140" s="299"/>
      <c r="E140" s="299"/>
      <c r="F140" s="299"/>
      <c r="I140" s="298" t="str">
        <f>IF(O37=0, IF(N18&gt;0,"$"&amp;N18,"$0"),"")</f>
        <v>$0</v>
      </c>
      <c r="J140" s="298"/>
      <c r="K140" s="298"/>
      <c r="L140" s="298"/>
      <c r="P140" s="86"/>
    </row>
    <row r="141" spans="1:16" x14ac:dyDescent="0.35">
      <c r="A141" s="184" t="s">
        <v>120</v>
      </c>
      <c r="B141" s="185"/>
      <c r="C141" s="185"/>
      <c r="D141" s="185"/>
      <c r="E141" s="185"/>
      <c r="F141" s="185"/>
      <c r="G141" s="185"/>
      <c r="H141" s="185"/>
      <c r="I141" s="185"/>
      <c r="J141" s="185"/>
      <c r="K141" s="185"/>
      <c r="L141" s="185"/>
      <c r="M141" s="185"/>
      <c r="N141" s="185"/>
      <c r="O141" s="185"/>
      <c r="P141" s="186"/>
    </row>
    <row r="142" spans="1:16" x14ac:dyDescent="0.35">
      <c r="A142" s="184"/>
      <c r="B142" s="185"/>
      <c r="C142" s="185"/>
      <c r="D142" s="185"/>
      <c r="E142" s="185"/>
      <c r="F142" s="185"/>
      <c r="G142" s="185"/>
      <c r="H142" s="185"/>
      <c r="I142" s="185"/>
      <c r="J142" s="185"/>
      <c r="K142" s="185"/>
      <c r="L142" s="185"/>
      <c r="M142" s="185"/>
      <c r="N142" s="185"/>
      <c r="O142" s="185"/>
      <c r="P142" s="186"/>
    </row>
    <row r="143" spans="1:16" ht="65" customHeight="1" thickBot="1" x14ac:dyDescent="0.4">
      <c r="A143" s="187"/>
      <c r="B143" s="188"/>
      <c r="C143" s="188"/>
      <c r="D143" s="188"/>
      <c r="E143" s="188"/>
      <c r="F143" s="188"/>
      <c r="G143" s="188"/>
      <c r="H143" s="188"/>
      <c r="I143" s="188"/>
      <c r="J143" s="188"/>
      <c r="K143" s="188"/>
      <c r="L143" s="188"/>
      <c r="M143" s="188"/>
      <c r="N143" s="188"/>
      <c r="O143" s="188"/>
      <c r="P143" s="189"/>
    </row>
    <row r="145" spans="1:16" x14ac:dyDescent="0.35">
      <c r="A145" s="185" t="s">
        <v>35</v>
      </c>
      <c r="B145" s="185"/>
      <c r="C145" s="185"/>
      <c r="D145" s="185"/>
      <c r="E145" s="185"/>
      <c r="F145" s="185"/>
      <c r="G145" s="185"/>
      <c r="H145" s="185"/>
      <c r="I145" s="185"/>
      <c r="J145" s="185"/>
      <c r="K145" s="185"/>
      <c r="L145" s="185"/>
      <c r="M145" s="185"/>
      <c r="N145" s="185"/>
      <c r="O145" s="185"/>
      <c r="P145" s="185"/>
    </row>
    <row r="146" spans="1:16" x14ac:dyDescent="0.35">
      <c r="A146" s="185"/>
      <c r="B146" s="185"/>
      <c r="C146" s="185"/>
      <c r="D146" s="185"/>
      <c r="E146" s="185"/>
      <c r="F146" s="185"/>
      <c r="G146" s="185"/>
      <c r="H146" s="185"/>
      <c r="I146" s="185"/>
      <c r="J146" s="185"/>
      <c r="K146" s="185"/>
      <c r="L146" s="185"/>
      <c r="M146" s="185"/>
      <c r="N146" s="185"/>
      <c r="O146" s="185"/>
      <c r="P146" s="185"/>
    </row>
    <row r="147" spans="1:16" ht="33.65" customHeight="1" x14ac:dyDescent="0.35">
      <c r="A147" s="185"/>
      <c r="B147" s="185"/>
      <c r="C147" s="185"/>
      <c r="D147" s="185"/>
      <c r="E147" s="185"/>
      <c r="F147" s="185"/>
      <c r="G147" s="185"/>
      <c r="H147" s="185"/>
      <c r="I147" s="185"/>
      <c r="J147" s="185"/>
      <c r="K147" s="185"/>
      <c r="L147" s="185"/>
      <c r="M147" s="185"/>
      <c r="N147" s="185"/>
      <c r="O147" s="185"/>
      <c r="P147" s="185"/>
    </row>
    <row r="148" spans="1:16" x14ac:dyDescent="0.35">
      <c r="A148" s="185" t="s">
        <v>36</v>
      </c>
      <c r="B148" s="185"/>
      <c r="C148" s="185"/>
      <c r="D148" s="185"/>
      <c r="E148" s="185"/>
      <c r="F148" s="185"/>
      <c r="G148" s="185"/>
      <c r="H148" s="185"/>
      <c r="I148" s="185"/>
      <c r="J148" s="185"/>
      <c r="K148" s="185"/>
      <c r="L148" s="185"/>
      <c r="M148" s="185"/>
      <c r="N148" s="185"/>
      <c r="O148" s="185"/>
      <c r="P148" s="185"/>
    </row>
    <row r="149" spans="1:16" x14ac:dyDescent="0.35">
      <c r="A149" s="185"/>
      <c r="B149" s="185"/>
      <c r="C149" s="185"/>
      <c r="D149" s="185"/>
      <c r="E149" s="185"/>
      <c r="F149" s="185"/>
      <c r="G149" s="185"/>
      <c r="H149" s="185"/>
      <c r="I149" s="185"/>
      <c r="J149" s="185"/>
      <c r="K149" s="185"/>
      <c r="L149" s="185"/>
      <c r="M149" s="185"/>
      <c r="N149" s="185"/>
      <c r="O149" s="185"/>
      <c r="P149" s="185"/>
    </row>
    <row r="150" spans="1:16" ht="33" customHeight="1" x14ac:dyDescent="0.35">
      <c r="A150" s="185"/>
      <c r="B150" s="185"/>
      <c r="C150" s="185"/>
      <c r="D150" s="185"/>
      <c r="E150" s="185"/>
      <c r="F150" s="185"/>
      <c r="G150" s="185"/>
      <c r="H150" s="185"/>
      <c r="I150" s="185"/>
      <c r="J150" s="185"/>
      <c r="K150" s="185"/>
      <c r="L150" s="185"/>
      <c r="M150" s="185"/>
      <c r="N150" s="185"/>
      <c r="O150" s="185"/>
      <c r="P150" s="185"/>
    </row>
    <row r="151" spans="1:16" x14ac:dyDescent="0.35">
      <c r="A151" s="185" t="s">
        <v>37</v>
      </c>
      <c r="B151" s="185"/>
      <c r="C151" s="185"/>
      <c r="D151" s="185"/>
      <c r="E151" s="185"/>
      <c r="F151" s="185"/>
      <c r="G151" s="185"/>
      <c r="H151" s="185"/>
      <c r="I151" s="185"/>
      <c r="J151" s="185"/>
      <c r="K151" s="185"/>
      <c r="L151" s="185"/>
      <c r="M151" s="185"/>
      <c r="N151" s="185"/>
      <c r="O151" s="185"/>
      <c r="P151" s="185"/>
    </row>
    <row r="152" spans="1:16" x14ac:dyDescent="0.35">
      <c r="A152" s="185"/>
      <c r="B152" s="185"/>
      <c r="C152" s="185"/>
      <c r="D152" s="185"/>
      <c r="E152" s="185"/>
      <c r="F152" s="185"/>
      <c r="G152" s="185"/>
      <c r="H152" s="185"/>
      <c r="I152" s="185"/>
      <c r="J152" s="185"/>
      <c r="K152" s="185"/>
      <c r="L152" s="185"/>
      <c r="M152" s="185"/>
      <c r="N152" s="185"/>
      <c r="O152" s="185"/>
      <c r="P152" s="185"/>
    </row>
    <row r="153" spans="1:16" x14ac:dyDescent="0.35">
      <c r="A153" s="185"/>
      <c r="B153" s="185"/>
      <c r="C153" s="185"/>
      <c r="D153" s="185"/>
      <c r="E153" s="185"/>
      <c r="F153" s="185"/>
      <c r="G153" s="185"/>
      <c r="H153" s="185"/>
      <c r="I153" s="185"/>
      <c r="J153" s="185"/>
      <c r="K153" s="185"/>
      <c r="L153" s="185"/>
      <c r="M153" s="185"/>
      <c r="N153" s="185"/>
      <c r="O153" s="185"/>
      <c r="P153" s="185"/>
    </row>
    <row r="154" spans="1:16" ht="51.5" customHeight="1" x14ac:dyDescent="0.35">
      <c r="A154" s="185"/>
      <c r="B154" s="185"/>
      <c r="C154" s="185"/>
      <c r="D154" s="185"/>
      <c r="E154" s="185"/>
      <c r="F154" s="185"/>
      <c r="G154" s="185"/>
      <c r="H154" s="185"/>
      <c r="I154" s="185"/>
      <c r="J154" s="185"/>
      <c r="K154" s="185"/>
      <c r="L154" s="185"/>
      <c r="M154" s="185"/>
      <c r="N154" s="185"/>
      <c r="O154" s="185"/>
      <c r="P154" s="185"/>
    </row>
    <row r="155" spans="1:16" x14ac:dyDescent="0.35">
      <c r="A155" s="190" t="s">
        <v>38</v>
      </c>
      <c r="B155" s="190"/>
      <c r="C155" s="190"/>
      <c r="D155" s="190"/>
      <c r="E155" s="190"/>
      <c r="F155" s="190"/>
      <c r="G155" s="190"/>
      <c r="H155" s="190"/>
      <c r="I155" s="190"/>
      <c r="J155" s="190"/>
      <c r="K155" s="190"/>
      <c r="L155" s="190"/>
      <c r="M155" s="190"/>
      <c r="N155" s="190"/>
      <c r="O155" s="190"/>
      <c r="P155" s="190"/>
    </row>
    <row r="156" spans="1:16" ht="16" x14ac:dyDescent="0.4">
      <c r="A156" s="124" t="s">
        <v>578</v>
      </c>
      <c r="B156" s="124"/>
      <c r="C156" s="124"/>
      <c r="D156" s="124"/>
      <c r="E156" s="124"/>
      <c r="F156" s="124"/>
      <c r="G156" s="124"/>
      <c r="H156" s="124"/>
      <c r="I156" s="124"/>
      <c r="J156" s="124"/>
      <c r="K156" s="124"/>
      <c r="L156" s="124"/>
      <c r="M156" s="124"/>
      <c r="N156" s="124"/>
      <c r="O156" s="124"/>
      <c r="P156" s="124"/>
    </row>
    <row r="157" spans="1:16" ht="24" customHeight="1" x14ac:dyDescent="0.35">
      <c r="A157" s="121"/>
      <c r="B157" s="121"/>
      <c r="C157" s="121"/>
      <c r="D157" s="121"/>
      <c r="E157" s="121"/>
      <c r="F157" s="121"/>
      <c r="G157" s="122" t="s">
        <v>25</v>
      </c>
      <c r="H157" s="121"/>
      <c r="I157" s="121"/>
      <c r="J157" s="121"/>
      <c r="K157" s="121"/>
      <c r="L157" s="121"/>
      <c r="M157" s="121"/>
      <c r="N157" s="121"/>
      <c r="O157" s="121"/>
      <c r="P157" s="122" t="s">
        <v>25</v>
      </c>
    </row>
    <row r="158" spans="1:16" ht="16" x14ac:dyDescent="0.4">
      <c r="A158" s="180"/>
      <c r="B158" s="180"/>
      <c r="C158" s="180"/>
      <c r="D158" s="180"/>
      <c r="E158" s="180"/>
      <c r="F158" s="180"/>
      <c r="I158" s="180"/>
      <c r="J158" s="180"/>
      <c r="K158" s="180"/>
      <c r="L158" s="180"/>
      <c r="M158" s="180"/>
      <c r="N158" s="180"/>
      <c r="O158" s="180"/>
      <c r="P158" s="118"/>
    </row>
    <row r="159" spans="1:16" ht="24.65" customHeight="1" x14ac:dyDescent="0.35">
      <c r="A159" s="191" t="s">
        <v>39</v>
      </c>
      <c r="B159" s="191"/>
      <c r="C159" s="191"/>
      <c r="D159" s="191"/>
      <c r="E159" s="191"/>
      <c r="F159" s="191"/>
      <c r="G159" s="95"/>
      <c r="H159" s="95"/>
      <c r="I159" s="191" t="s">
        <v>40</v>
      </c>
      <c r="J159" s="191"/>
      <c r="K159" s="191"/>
      <c r="L159" s="191"/>
      <c r="M159" s="191"/>
      <c r="N159" s="191"/>
      <c r="O159" s="191"/>
    </row>
    <row r="160" spans="1:16" ht="37" customHeight="1" x14ac:dyDescent="0.4">
      <c r="A160" s="180"/>
      <c r="B160" s="180"/>
      <c r="C160" s="180"/>
      <c r="D160" s="180"/>
      <c r="E160" s="180"/>
      <c r="F160" s="180"/>
      <c r="G160" s="181"/>
      <c r="H160" s="181"/>
      <c r="I160" s="180"/>
      <c r="J160" s="180"/>
      <c r="K160" s="180"/>
      <c r="L160" s="180"/>
      <c r="M160" s="180"/>
      <c r="N160" s="180"/>
      <c r="O160" s="180"/>
      <c r="P160" s="118"/>
    </row>
    <row r="161" spans="1:16" ht="24" customHeight="1" x14ac:dyDescent="0.35">
      <c r="A161" s="178" t="str">
        <f>_xlfn.CONCAT("Church Council Chair - ",IF(AND(C7&gt;0,C7&lt;&gt;"Church Name - Dropdown"),C7,"CHURCH A"))</f>
        <v>Church Council Chair - CHURCH A</v>
      </c>
      <c r="B161" s="178"/>
      <c r="C161" s="178"/>
      <c r="D161" s="178"/>
      <c r="E161" s="178"/>
      <c r="F161" s="178"/>
      <c r="G161" s="95"/>
      <c r="H161" s="95"/>
      <c r="I161" s="178" t="str">
        <f>_xlfn.CONCAT("Secretary of Church Conference - ",IF(AND(C7&gt;0,C7&lt;&gt;"Church Name - Dropdown"),C7,"CHURCH A"))</f>
        <v>Secretary of Church Conference - CHURCH A</v>
      </c>
      <c r="J161" s="178"/>
      <c r="K161" s="178"/>
      <c r="L161" s="178"/>
      <c r="M161" s="178"/>
      <c r="N161" s="178"/>
      <c r="O161" s="178"/>
    </row>
    <row r="162" spans="1:16" ht="35" customHeight="1" x14ac:dyDescent="0.4">
      <c r="A162" s="180"/>
      <c r="B162" s="180"/>
      <c r="C162" s="180"/>
      <c r="D162" s="180"/>
      <c r="E162" s="180"/>
      <c r="F162" s="180"/>
      <c r="G162" s="181"/>
      <c r="H162" s="181"/>
      <c r="I162" s="180"/>
      <c r="J162" s="180"/>
      <c r="K162" s="180"/>
      <c r="L162" s="180"/>
      <c r="M162" s="180"/>
      <c r="N162" s="180"/>
      <c r="O162" s="180"/>
      <c r="P162" s="118"/>
    </row>
    <row r="163" spans="1:16" ht="24.65" customHeight="1" x14ac:dyDescent="0.35">
      <c r="A163" s="178" t="str">
        <f>_xlfn.CONCAT("Church Council Chair - ",IF(AND(F7&gt;0,F7&lt;&gt;"Church Name - Dropdown"),F7,"CHURCH B"))</f>
        <v>Church Council Chair - CHURCH B</v>
      </c>
      <c r="B163" s="178"/>
      <c r="C163" s="178"/>
      <c r="D163" s="178"/>
      <c r="E163" s="178"/>
      <c r="F163" s="178"/>
      <c r="G163" s="95"/>
      <c r="H163" s="95"/>
      <c r="I163" s="178" t="str">
        <f>_xlfn.CONCAT("Secretary of Church Conference - ",IF(AND(F7&gt;0,F7&lt;&gt;"Church Name - Dropdown"),F7,"CHURCH B"))</f>
        <v>Secretary of Church Conference - CHURCH B</v>
      </c>
      <c r="J163" s="178"/>
      <c r="K163" s="178"/>
      <c r="L163" s="178"/>
      <c r="M163" s="178"/>
      <c r="N163" s="178"/>
      <c r="O163" s="178"/>
    </row>
    <row r="164" spans="1:16" ht="36.5" customHeight="1" x14ac:dyDescent="0.4">
      <c r="A164" s="180"/>
      <c r="B164" s="180"/>
      <c r="C164" s="180"/>
      <c r="D164" s="180"/>
      <c r="E164" s="180"/>
      <c r="F164" s="180"/>
      <c r="G164" s="181"/>
      <c r="H164" s="181"/>
      <c r="I164" s="180"/>
      <c r="J164" s="180"/>
      <c r="K164" s="180"/>
      <c r="L164" s="180"/>
      <c r="M164" s="180"/>
      <c r="N164" s="180"/>
      <c r="O164" s="180"/>
      <c r="P164" s="118"/>
    </row>
    <row r="165" spans="1:16" ht="24.65" customHeight="1" x14ac:dyDescent="0.35">
      <c r="A165" s="178" t="str">
        <f>_xlfn.CONCAT("Church Council Chair - ",IF(AND(J7&gt;0,J7&lt;&gt;"Church Name - Dropdown"),J7,"CHURCH C"))</f>
        <v>Church Council Chair - CHURCH C</v>
      </c>
      <c r="B165" s="178"/>
      <c r="C165" s="178"/>
      <c r="D165" s="178"/>
      <c r="E165" s="178"/>
      <c r="F165" s="178"/>
      <c r="G165" s="95"/>
      <c r="H165" s="95"/>
      <c r="I165" s="178" t="str">
        <f>_xlfn.CONCAT("Secretary of Church Conference - ",IF(AND(J7&gt;0,J7&lt;&gt;"Church Name - Dropdown"),J7,"CHURCH C"))</f>
        <v>Secretary of Church Conference - CHURCH C</v>
      </c>
      <c r="J165" s="178"/>
      <c r="K165" s="178"/>
      <c r="L165" s="178"/>
      <c r="M165" s="178"/>
      <c r="N165" s="178"/>
      <c r="O165" s="178"/>
    </row>
    <row r="166" spans="1:16" ht="39.5" customHeight="1" x14ac:dyDescent="0.35">
      <c r="A166" s="182"/>
      <c r="B166" s="182"/>
      <c r="C166" s="182"/>
      <c r="D166" s="182"/>
      <c r="E166" s="182"/>
      <c r="F166" s="182"/>
      <c r="G166" s="118"/>
      <c r="I166" s="183"/>
      <c r="J166" s="183"/>
      <c r="K166" s="183"/>
      <c r="L166" s="183"/>
      <c r="M166" s="183"/>
      <c r="N166" s="183"/>
      <c r="O166" s="183"/>
      <c r="P166" s="118"/>
    </row>
    <row r="167" spans="1:16" ht="24.65" customHeight="1" x14ac:dyDescent="0.35">
      <c r="A167" s="178" t="str">
        <f>_xlfn.CONCAT("Church Council Chair - ",IF(AND(M7&gt;0,M7&lt;&gt;"Church Name - Dropdown"),M7,"CHURCH D"))</f>
        <v>Church Council Chair - CHURCH D</v>
      </c>
      <c r="B167" s="178"/>
      <c r="C167" s="178"/>
      <c r="D167" s="178"/>
      <c r="E167" s="178"/>
      <c r="F167" s="178"/>
      <c r="I167" s="178" t="str">
        <f>_xlfn.CONCAT("Secretary of Church Conference - ",IF(AND(M7&gt;0,M7&lt;&gt;"Church Name - Dropdown"),M7,"CHURCH D"))</f>
        <v>Secretary of Church Conference - CHURCH D</v>
      </c>
      <c r="J167" s="178"/>
      <c r="K167" s="178"/>
      <c r="L167" s="178"/>
      <c r="M167" s="178"/>
      <c r="N167" s="178"/>
      <c r="O167" s="178"/>
    </row>
    <row r="168" spans="1:16" ht="40" customHeight="1" x14ac:dyDescent="0.35">
      <c r="A168" s="182"/>
      <c r="B168" s="182"/>
      <c r="C168" s="182"/>
      <c r="D168" s="182"/>
      <c r="E168" s="182"/>
      <c r="F168" s="182"/>
      <c r="G168" s="118"/>
      <c r="I168" s="183"/>
      <c r="J168" s="183"/>
      <c r="K168" s="183"/>
      <c r="L168" s="183"/>
      <c r="M168" s="183"/>
      <c r="N168" s="183"/>
      <c r="O168" s="183"/>
      <c r="P168" s="118"/>
    </row>
    <row r="169" spans="1:16" x14ac:dyDescent="0.35">
      <c r="A169" s="178" t="str">
        <f>_xlfn.CONCAT("Church Council Chair - ",IF(AND(O7&gt;0,O7&lt;&gt;"Church Name - Dropdown"),O7,"CHURCH E"))</f>
        <v>Church Council Chair - CHURCH E</v>
      </c>
      <c r="B169" s="178"/>
      <c r="C169" s="178"/>
      <c r="D169" s="178"/>
      <c r="E169" s="178"/>
      <c r="F169" s="178"/>
      <c r="I169" s="178" t="str">
        <f>_xlfn.CONCAT("Secretary of Church Conference - ",IF(AND(O7&gt;0,O7&lt;&gt;"Church Name - Dropdown"),O7,"CHURCH E"))</f>
        <v>Secretary of Church Conference - CHURCH E</v>
      </c>
      <c r="J169" s="178"/>
      <c r="K169" s="178"/>
      <c r="L169" s="178"/>
      <c r="M169" s="178"/>
      <c r="N169" s="178"/>
      <c r="O169" s="178"/>
    </row>
    <row r="170" spans="1:16" x14ac:dyDescent="0.35">
      <c r="A170" s="179"/>
      <c r="B170" s="179"/>
      <c r="C170" s="179"/>
      <c r="D170" s="179"/>
      <c r="E170" s="179"/>
      <c r="F170" s="179"/>
      <c r="I170" s="179"/>
      <c r="J170" s="179"/>
      <c r="K170" s="179"/>
      <c r="L170" s="179"/>
      <c r="M170" s="179"/>
      <c r="N170" s="179"/>
      <c r="O170" s="179"/>
    </row>
  </sheetData>
  <sheetProtection algorithmName="SHA-512" hashValue="QLQezMsqC6UQbKRU1ebzlq/A/FXcciS9rMio2TKI/yXO/47Zt1D4V6NSDHvO8FrY8UgHqpSm9Y62ebtnl3sHGw==" saltValue="Lhp3klZia9/vgqT6fHSMng==" spinCount="100000" sheet="1" objects="1" scenarios="1"/>
  <mergeCells count="236">
    <mergeCell ref="A5:P5"/>
    <mergeCell ref="A84:D84"/>
    <mergeCell ref="A85:D85"/>
    <mergeCell ref="A86:D86"/>
    <mergeCell ref="A87:D87"/>
    <mergeCell ref="A88:D88"/>
    <mergeCell ref="A89:D89"/>
    <mergeCell ref="A90:D90"/>
    <mergeCell ref="A6:P6"/>
    <mergeCell ref="A7:B7"/>
    <mergeCell ref="A8:B8"/>
    <mergeCell ref="A10:B10"/>
    <mergeCell ref="C10:D10"/>
    <mergeCell ref="J10:K10"/>
    <mergeCell ref="O10:P10"/>
    <mergeCell ref="A70:I70"/>
    <mergeCell ref="A71:I71"/>
    <mergeCell ref="B16:I16"/>
    <mergeCell ref="B15:I15"/>
    <mergeCell ref="B14:I14"/>
    <mergeCell ref="O35:P35"/>
    <mergeCell ref="O36:P36"/>
    <mergeCell ref="O37:P37"/>
    <mergeCell ref="A50:O50"/>
    <mergeCell ref="A91:D91"/>
    <mergeCell ref="A92:D92"/>
    <mergeCell ref="G128:L128"/>
    <mergeCell ref="C129:F129"/>
    <mergeCell ref="C130:F130"/>
    <mergeCell ref="C131:F131"/>
    <mergeCell ref="C132:F132"/>
    <mergeCell ref="C133:F133"/>
    <mergeCell ref="I115:L115"/>
    <mergeCell ref="I116:L116"/>
    <mergeCell ref="I117:L117"/>
    <mergeCell ref="I119:L119"/>
    <mergeCell ref="I118:L118"/>
    <mergeCell ref="C115:F115"/>
    <mergeCell ref="C116:F116"/>
    <mergeCell ref="C117:F117"/>
    <mergeCell ref="C118:F118"/>
    <mergeCell ref="C119:F119"/>
    <mergeCell ref="I129:L129"/>
    <mergeCell ref="I130:L130"/>
    <mergeCell ref="I131:L131"/>
    <mergeCell ref="I132:L132"/>
    <mergeCell ref="I133:L133"/>
    <mergeCell ref="A126:P126"/>
    <mergeCell ref="A136:B136"/>
    <mergeCell ref="A137:B137"/>
    <mergeCell ref="A138:B138"/>
    <mergeCell ref="A140:B140"/>
    <mergeCell ref="A139:B139"/>
    <mergeCell ref="G135:L135"/>
    <mergeCell ref="I136:L136"/>
    <mergeCell ref="I137:L137"/>
    <mergeCell ref="I138:L138"/>
    <mergeCell ref="I139:L139"/>
    <mergeCell ref="I140:L140"/>
    <mergeCell ref="C136:F136"/>
    <mergeCell ref="C137:F137"/>
    <mergeCell ref="C138:F138"/>
    <mergeCell ref="C139:F139"/>
    <mergeCell ref="C140:F140"/>
    <mergeCell ref="A3:E3"/>
    <mergeCell ref="F3:J3"/>
    <mergeCell ref="K3:P3"/>
    <mergeCell ref="A4:E4"/>
    <mergeCell ref="F4:J4"/>
    <mergeCell ref="K4:P4"/>
    <mergeCell ref="A1:D1"/>
    <mergeCell ref="E1:K1"/>
    <mergeCell ref="L1:P1"/>
    <mergeCell ref="A2:D2"/>
    <mergeCell ref="E2:K2"/>
    <mergeCell ref="L2:P2"/>
    <mergeCell ref="F10:H10"/>
    <mergeCell ref="C23:I23"/>
    <mergeCell ref="C24:I24"/>
    <mergeCell ref="C25:I25"/>
    <mergeCell ref="C32:I32"/>
    <mergeCell ref="A38:P38"/>
    <mergeCell ref="A39:P39"/>
    <mergeCell ref="A40:P40"/>
    <mergeCell ref="A41:P41"/>
    <mergeCell ref="C21:I21"/>
    <mergeCell ref="C22:I22"/>
    <mergeCell ref="A11:P11"/>
    <mergeCell ref="A12:I12"/>
    <mergeCell ref="B13:I13"/>
    <mergeCell ref="B17:I17"/>
    <mergeCell ref="B18:I18"/>
    <mergeCell ref="B19:I19"/>
    <mergeCell ref="B20:P20"/>
    <mergeCell ref="J35:J36"/>
    <mergeCell ref="K35:K36"/>
    <mergeCell ref="L35:L36"/>
    <mergeCell ref="M35:M36"/>
    <mergeCell ref="N35:N36"/>
    <mergeCell ref="A33:I34"/>
    <mergeCell ref="A73:P74"/>
    <mergeCell ref="B59:I59"/>
    <mergeCell ref="B57:H57"/>
    <mergeCell ref="A44:P44"/>
    <mergeCell ref="M33:M34"/>
    <mergeCell ref="N33:N34"/>
    <mergeCell ref="O34:P34"/>
    <mergeCell ref="O33:P33"/>
    <mergeCell ref="A35:A36"/>
    <mergeCell ref="J33:J34"/>
    <mergeCell ref="K33:K34"/>
    <mergeCell ref="L33:L34"/>
    <mergeCell ref="A43:P43"/>
    <mergeCell ref="B35:I36"/>
    <mergeCell ref="B37:I37"/>
    <mergeCell ref="A42:P42"/>
    <mergeCell ref="B54:H54"/>
    <mergeCell ref="E92:J92"/>
    <mergeCell ref="E93:J93"/>
    <mergeCell ref="L87:P87"/>
    <mergeCell ref="A20:A32"/>
    <mergeCell ref="C26:I26"/>
    <mergeCell ref="B27:P27"/>
    <mergeCell ref="C28:I28"/>
    <mergeCell ref="C29:I29"/>
    <mergeCell ref="C30:I30"/>
    <mergeCell ref="C31:I31"/>
    <mergeCell ref="A76:P78"/>
    <mergeCell ref="A80:E80"/>
    <mergeCell ref="F80:J80"/>
    <mergeCell ref="A66:P66"/>
    <mergeCell ref="A65:P65"/>
    <mergeCell ref="A67:I67"/>
    <mergeCell ref="A68:I68"/>
    <mergeCell ref="A69:I69"/>
    <mergeCell ref="B58:I58"/>
    <mergeCell ref="B60:I60"/>
    <mergeCell ref="A61:P61"/>
    <mergeCell ref="B62:I62"/>
    <mergeCell ref="A63:I63"/>
    <mergeCell ref="B64:I64"/>
    <mergeCell ref="A161:F161"/>
    <mergeCell ref="I161:O161"/>
    <mergeCell ref="A141:P143"/>
    <mergeCell ref="A145:P147"/>
    <mergeCell ref="A148:P150"/>
    <mergeCell ref="A151:P154"/>
    <mergeCell ref="A155:P155"/>
    <mergeCell ref="A158:F158"/>
    <mergeCell ref="I158:O158"/>
    <mergeCell ref="A159:F159"/>
    <mergeCell ref="I159:O159"/>
    <mergeCell ref="A160:F160"/>
    <mergeCell ref="G160:H160"/>
    <mergeCell ref="I160:O160"/>
    <mergeCell ref="A165:F165"/>
    <mergeCell ref="I165:O165"/>
    <mergeCell ref="A167:F167"/>
    <mergeCell ref="I167:O167"/>
    <mergeCell ref="A170:F170"/>
    <mergeCell ref="I170:O170"/>
    <mergeCell ref="A162:F162"/>
    <mergeCell ref="G162:H162"/>
    <mergeCell ref="I162:O162"/>
    <mergeCell ref="A163:F163"/>
    <mergeCell ref="I163:O163"/>
    <mergeCell ref="A164:F164"/>
    <mergeCell ref="G164:H164"/>
    <mergeCell ref="I164:O164"/>
    <mergeCell ref="A166:F166"/>
    <mergeCell ref="A168:F168"/>
    <mergeCell ref="A169:F169"/>
    <mergeCell ref="I166:O166"/>
    <mergeCell ref="I168:O168"/>
    <mergeCell ref="I169:O169"/>
    <mergeCell ref="L84:P84"/>
    <mergeCell ref="L83:P83"/>
    <mergeCell ref="L82:P82"/>
    <mergeCell ref="E83:J83"/>
    <mergeCell ref="E84:J84"/>
    <mergeCell ref="A83:D83"/>
    <mergeCell ref="E94:J94"/>
    <mergeCell ref="A93:D93"/>
    <mergeCell ref="A94:D94"/>
    <mergeCell ref="L85:P85"/>
    <mergeCell ref="L86:P86"/>
    <mergeCell ref="L88:P88"/>
    <mergeCell ref="L89:P89"/>
    <mergeCell ref="L90:P90"/>
    <mergeCell ref="L91:P91"/>
    <mergeCell ref="L92:P92"/>
    <mergeCell ref="L93:P93"/>
    <mergeCell ref="E85:J85"/>
    <mergeCell ref="E86:J86"/>
    <mergeCell ref="E87:J87"/>
    <mergeCell ref="E88:J88"/>
    <mergeCell ref="E89:J89"/>
    <mergeCell ref="E90:J90"/>
    <mergeCell ref="E91:J91"/>
    <mergeCell ref="A9:B9"/>
    <mergeCell ref="F9:H9"/>
    <mergeCell ref="J9:K9"/>
    <mergeCell ref="O9:P9"/>
    <mergeCell ref="C9:D9"/>
    <mergeCell ref="O7:P7"/>
    <mergeCell ref="O8:P8"/>
    <mergeCell ref="C7:D7"/>
    <mergeCell ref="C8:D8"/>
    <mergeCell ref="F7:H7"/>
    <mergeCell ref="F8:H8"/>
    <mergeCell ref="J7:K7"/>
    <mergeCell ref="J8:K8"/>
    <mergeCell ref="A79:P79"/>
    <mergeCell ref="A156:P156"/>
    <mergeCell ref="B51:I51"/>
    <mergeCell ref="B52:I52"/>
    <mergeCell ref="B53:I53"/>
    <mergeCell ref="B56:I56"/>
    <mergeCell ref="B55:I55"/>
    <mergeCell ref="A45:G45"/>
    <mergeCell ref="A46:K46"/>
    <mergeCell ref="A47:G47"/>
    <mergeCell ref="A48:J48"/>
    <mergeCell ref="A49:K49"/>
    <mergeCell ref="A121:P122"/>
    <mergeCell ref="D82:I82"/>
    <mergeCell ref="A109:B109"/>
    <mergeCell ref="C109:J109"/>
    <mergeCell ref="A112:P112"/>
    <mergeCell ref="A95:P95"/>
    <mergeCell ref="A97:P97"/>
    <mergeCell ref="A99:P103"/>
    <mergeCell ref="A105:P106"/>
    <mergeCell ref="A108:B108"/>
    <mergeCell ref="C108:F108"/>
    <mergeCell ref="G114:L114"/>
  </mergeCells>
  <conditionalFormatting sqref="C8:D8 C9:C10 J13:J19 J21:J26 J28:J32 J35:J43 J51:J60 J62 J64 J67:J71">
    <cfRule type="expression" dxfId="16" priority="76">
      <formula>OR($C$7=0,$C$7="Church Name - Dropdown")</formula>
    </cfRule>
  </conditionalFormatting>
  <conditionalFormatting sqref="F7:H8 F9:F10 K13:K18 K21:K25 K28:K29 K35 K51 K58 K62 K67:K69">
    <cfRule type="expression" dxfId="15" priority="69">
      <formula>AND($F$7&gt;0,$F$7&lt;&gt;"Church Name - Dropdown")</formula>
    </cfRule>
  </conditionalFormatting>
  <conditionalFormatting sqref="F8:H8 F9:F10 K13:K19 K21:K26 K28:K32 K35:K43 K51:K60 K62 K67:K71 K64">
    <cfRule type="expression" dxfId="14" priority="75">
      <formula>OR($F$7=0,$F$7="Church Name - Dropdown")</formula>
    </cfRule>
  </conditionalFormatting>
  <conditionalFormatting sqref="J19 J26 J30:J32 J37:J43 J52:J57 J59:J60 J64 J70:J71">
    <cfRule type="expression" dxfId="13" priority="77">
      <formula>AND($C$7&gt;0,$C$7&lt;&gt;"Church Name - Dropdown")</formula>
    </cfRule>
  </conditionalFormatting>
  <conditionalFormatting sqref="J58:J59 C7:D8 C9:C10 J13:J18 J21:J25 J28:J29 J35 J51 J62 J67:J69">
    <cfRule type="expression" dxfId="12" priority="79">
      <formula>AND($C$7&gt;0,$C$7&lt;&gt;"Church Name - Dropdown")</formula>
    </cfRule>
  </conditionalFormatting>
  <conditionalFormatting sqref="J8:K8 J9:J10 L13:L19 L21:L26 L28:L32 L35:L43 L51:L60 L62 L67:L71 L64">
    <cfRule type="expression" dxfId="11" priority="74">
      <formula>OR($J$7=0,$J$7="Church Name - Dropdown")</formula>
    </cfRule>
  </conditionalFormatting>
  <conditionalFormatting sqref="K19 K26 K30:K32 K37:K43 K52:K57 K59:K60 K64 K70:K71">
    <cfRule type="expression" dxfId="10" priority="78">
      <formula>AND($F$7&gt;0,$F$7&lt;&gt;"Church Name - Dropdown")</formula>
    </cfRule>
  </conditionalFormatting>
  <conditionalFormatting sqref="L19 L26 L30:L32 L37:L43 L52:L57 L59:L60 L64 L70:L71">
    <cfRule type="expression" dxfId="9" priority="65">
      <formula>AND($J$7&gt;0,$J$7&lt;&gt;"Church Name - Dropdown")</formula>
    </cfRule>
  </conditionalFormatting>
  <conditionalFormatting sqref="L58:L59 J7:K8 J9:J10 L13:L18 L21:L25 L28:L29 L35 L51 L62 L67:L69">
    <cfRule type="expression" dxfId="8" priority="68">
      <formula>AND($J$7&gt;0,$J$7&lt;&gt;"Church Name - Dropdown")</formula>
    </cfRule>
  </conditionalFormatting>
  <conditionalFormatting sqref="M8:M10 M13:M19 M21:M26 M28:M32 M35:M43 M51:M60 M62 M67:M71 M64">
    <cfRule type="expression" dxfId="7" priority="73">
      <formula>OR($M$7=0,$M$7="Church Name - Dropdown")</formula>
    </cfRule>
  </conditionalFormatting>
  <conditionalFormatting sqref="M19 M26 M30:M32 M37:M43 M52:M57 M59:M60 M64 M70:M71">
    <cfRule type="expression" dxfId="6" priority="64">
      <formula>AND($M$7&gt;0,$M$7&lt;&gt;"Church Name - Dropdown")</formula>
    </cfRule>
  </conditionalFormatting>
  <conditionalFormatting sqref="M58:M59 M7:M10 M13:M18 M21:M25 M28:M29 M35 M51 M62 M67:M69">
    <cfRule type="expression" dxfId="5" priority="67">
      <formula>AND($M$7&gt;0,$M$7&lt;&gt;"Church Name - Dropdown")</formula>
    </cfRule>
  </conditionalFormatting>
  <conditionalFormatting sqref="N19 N26 N30:N32 N37:N43 N52:N57 N59:N60 N64 N70:N71">
    <cfRule type="expression" dxfId="4" priority="63">
      <formula>AND($O$7&gt;0,$O$7&lt;&gt;"Church Name - Dropdown")</formula>
    </cfRule>
  </conditionalFormatting>
  <conditionalFormatting sqref="N58:N59 O7:P8 O9:O10 N13:N18 N21:N25 N28:N29 N35 N51 N62 N67:N69">
    <cfRule type="expression" dxfId="3" priority="66">
      <formula>AND($O$7&gt;0,$O$7&lt;&gt;"Church Name - Dropdown")</formula>
    </cfRule>
  </conditionalFormatting>
  <conditionalFormatting sqref="O36:O43">
    <cfRule type="expression" dxfId="2" priority="1">
      <formula>AND($O$7&gt;0,$O$7&lt;&gt;"Church Name - Dropdown")</formula>
    </cfRule>
    <cfRule type="expression" dxfId="1" priority="2">
      <formula>OR($O$7=0,$O$7="Church Name - Dropdown")</formula>
    </cfRule>
  </conditionalFormatting>
  <conditionalFormatting sqref="O8:P8 O9:O10 N13:N19 N21:N26 N28:N32 N35:N43 N51:N60 N62 N67:N71 N64">
    <cfRule type="expression" dxfId="0" priority="70">
      <formula>OR($O$7=0,$O$7="Church Name - Dropdown")</formula>
    </cfRule>
  </conditionalFormatting>
  <dataValidations count="1">
    <dataValidation allowBlank="1" showErrorMessage="1" sqref="B13:I13" xr:uid="{AAE8538F-8FEA-4BC4-AD38-DA7B0BF4BCDD}"/>
  </dataValidations>
  <hyperlinks>
    <hyperlink ref="A11:P11" r:id="rId1" display="It is highly recommended to review the instructions as a guide when completing this report. Click here to view these instructions." xr:uid="{8A1644FC-3982-4074-B296-9EC78802A6DE}"/>
  </hyperlinks>
  <pageMargins left="0.25" right="0.25" top="0.75" bottom="0.75" header="0.3" footer="0.3"/>
  <pageSetup scale="61" fitToHeight="0" orientation="portrait" horizontalDpi="4294967293" r:id="rId2"/>
  <rowBreaks count="5" manualBreakCount="5">
    <brk id="26" max="16383" man="1"/>
    <brk id="43" max="16383" man="1"/>
    <brk id="60" max="16383" man="1"/>
    <brk id="95" max="15" man="1"/>
    <brk id="143"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38" r:id="rId5" name="Check Box 14">
              <controlPr defaultSize="0" autoFill="0" autoLine="0" autoPict="0">
                <anchor moveWithCells="1">
                  <from>
                    <xdr:col>10</xdr:col>
                    <xdr:colOff>304800</xdr:colOff>
                    <xdr:row>87</xdr:row>
                    <xdr:rowOff>57150</xdr:rowOff>
                  </from>
                  <to>
                    <xdr:col>10</xdr:col>
                    <xdr:colOff>609600</xdr:colOff>
                    <xdr:row>87</xdr:row>
                    <xdr:rowOff>285750</xdr:rowOff>
                  </to>
                </anchor>
              </controlPr>
            </control>
          </mc:Choice>
        </mc:AlternateContent>
        <mc:AlternateContent xmlns:mc="http://schemas.openxmlformats.org/markup-compatibility/2006">
          <mc:Choice Requires="x14">
            <control shapeId="1039" r:id="rId6" name="Check Box 15">
              <controlPr defaultSize="0" autoFill="0" autoLine="0" autoPict="0">
                <anchor moveWithCells="1">
                  <from>
                    <xdr:col>10</xdr:col>
                    <xdr:colOff>311150</xdr:colOff>
                    <xdr:row>82</xdr:row>
                    <xdr:rowOff>19050</xdr:rowOff>
                  </from>
                  <to>
                    <xdr:col>10</xdr:col>
                    <xdr:colOff>622300</xdr:colOff>
                    <xdr:row>82</xdr:row>
                    <xdr:rowOff>260350</xdr:rowOff>
                  </to>
                </anchor>
              </controlPr>
            </control>
          </mc:Choice>
        </mc:AlternateContent>
        <mc:AlternateContent xmlns:mc="http://schemas.openxmlformats.org/markup-compatibility/2006">
          <mc:Choice Requires="x14">
            <control shapeId="1040" r:id="rId7" name="Check Box 16">
              <controlPr defaultSize="0" autoFill="0" autoLine="0" autoPict="0">
                <anchor moveWithCells="1">
                  <from>
                    <xdr:col>10</xdr:col>
                    <xdr:colOff>304800</xdr:colOff>
                    <xdr:row>83</xdr:row>
                    <xdr:rowOff>95250</xdr:rowOff>
                  </from>
                  <to>
                    <xdr:col>10</xdr:col>
                    <xdr:colOff>609600</xdr:colOff>
                    <xdr:row>83</xdr:row>
                    <xdr:rowOff>323850</xdr:rowOff>
                  </to>
                </anchor>
              </controlPr>
            </control>
          </mc:Choice>
        </mc:AlternateContent>
        <mc:AlternateContent xmlns:mc="http://schemas.openxmlformats.org/markup-compatibility/2006">
          <mc:Choice Requires="x14">
            <control shapeId="1041" r:id="rId8" name="Check Box 17">
              <controlPr defaultSize="0" autoFill="0" autoLine="0" autoPict="0">
                <anchor moveWithCells="1">
                  <from>
                    <xdr:col>10</xdr:col>
                    <xdr:colOff>304800</xdr:colOff>
                    <xdr:row>84</xdr:row>
                    <xdr:rowOff>76200</xdr:rowOff>
                  </from>
                  <to>
                    <xdr:col>10</xdr:col>
                    <xdr:colOff>609600</xdr:colOff>
                    <xdr:row>84</xdr:row>
                    <xdr:rowOff>304800</xdr:rowOff>
                  </to>
                </anchor>
              </controlPr>
            </control>
          </mc:Choice>
        </mc:AlternateContent>
        <mc:AlternateContent xmlns:mc="http://schemas.openxmlformats.org/markup-compatibility/2006">
          <mc:Choice Requires="x14">
            <control shapeId="1042" r:id="rId9" name="Check Box 18">
              <controlPr defaultSize="0" autoFill="0" autoLine="0" autoPict="0">
                <anchor moveWithCells="1">
                  <from>
                    <xdr:col>10</xdr:col>
                    <xdr:colOff>304800</xdr:colOff>
                    <xdr:row>86</xdr:row>
                    <xdr:rowOff>57150</xdr:rowOff>
                  </from>
                  <to>
                    <xdr:col>10</xdr:col>
                    <xdr:colOff>609600</xdr:colOff>
                    <xdr:row>86</xdr:row>
                    <xdr:rowOff>285750</xdr:rowOff>
                  </to>
                </anchor>
              </controlPr>
            </control>
          </mc:Choice>
        </mc:AlternateContent>
        <mc:AlternateContent xmlns:mc="http://schemas.openxmlformats.org/markup-compatibility/2006">
          <mc:Choice Requires="x14">
            <control shapeId="1043" r:id="rId10" name="Check Box 19">
              <controlPr defaultSize="0" autoFill="0" autoLine="0" autoPict="0">
                <anchor moveWithCells="1">
                  <from>
                    <xdr:col>10</xdr:col>
                    <xdr:colOff>304800</xdr:colOff>
                    <xdr:row>85</xdr:row>
                    <xdr:rowOff>50800</xdr:rowOff>
                  </from>
                  <to>
                    <xdr:col>10</xdr:col>
                    <xdr:colOff>609600</xdr:colOff>
                    <xdr:row>85</xdr:row>
                    <xdr:rowOff>279400</xdr:rowOff>
                  </to>
                </anchor>
              </controlPr>
            </control>
          </mc:Choice>
        </mc:AlternateContent>
        <mc:AlternateContent xmlns:mc="http://schemas.openxmlformats.org/markup-compatibility/2006">
          <mc:Choice Requires="x14">
            <control shapeId="1044" r:id="rId11" name="Check Box 20">
              <controlPr defaultSize="0" autoFill="0" autoLine="0" autoPict="0">
                <anchor moveWithCells="1">
                  <from>
                    <xdr:col>10</xdr:col>
                    <xdr:colOff>304800</xdr:colOff>
                    <xdr:row>88</xdr:row>
                    <xdr:rowOff>50800</xdr:rowOff>
                  </from>
                  <to>
                    <xdr:col>10</xdr:col>
                    <xdr:colOff>609600</xdr:colOff>
                    <xdr:row>88</xdr:row>
                    <xdr:rowOff>279400</xdr:rowOff>
                  </to>
                </anchor>
              </controlPr>
            </control>
          </mc:Choice>
        </mc:AlternateContent>
        <mc:AlternateContent xmlns:mc="http://schemas.openxmlformats.org/markup-compatibility/2006">
          <mc:Choice Requires="x14">
            <control shapeId="1045" r:id="rId12" name="Check Box 21">
              <controlPr defaultSize="0" autoFill="0" autoLine="0" autoPict="0">
                <anchor moveWithCells="1">
                  <from>
                    <xdr:col>10</xdr:col>
                    <xdr:colOff>304800</xdr:colOff>
                    <xdr:row>89</xdr:row>
                    <xdr:rowOff>50800</xdr:rowOff>
                  </from>
                  <to>
                    <xdr:col>10</xdr:col>
                    <xdr:colOff>609600</xdr:colOff>
                    <xdr:row>89</xdr:row>
                    <xdr:rowOff>279400</xdr:rowOff>
                  </to>
                </anchor>
              </controlPr>
            </control>
          </mc:Choice>
        </mc:AlternateContent>
        <mc:AlternateContent xmlns:mc="http://schemas.openxmlformats.org/markup-compatibility/2006">
          <mc:Choice Requires="x14">
            <control shapeId="1046" r:id="rId13" name="Check Box 22">
              <controlPr defaultSize="0" autoFill="0" autoLine="0" autoPict="0">
                <anchor moveWithCells="1">
                  <from>
                    <xdr:col>10</xdr:col>
                    <xdr:colOff>304800</xdr:colOff>
                    <xdr:row>90</xdr:row>
                    <xdr:rowOff>69850</xdr:rowOff>
                  </from>
                  <to>
                    <xdr:col>10</xdr:col>
                    <xdr:colOff>609600</xdr:colOff>
                    <xdr:row>90</xdr:row>
                    <xdr:rowOff>298450</xdr:rowOff>
                  </to>
                </anchor>
              </controlPr>
            </control>
          </mc:Choice>
        </mc:AlternateContent>
        <mc:AlternateContent xmlns:mc="http://schemas.openxmlformats.org/markup-compatibility/2006">
          <mc:Choice Requires="x14">
            <control shapeId="1047" r:id="rId14" name="Check Box 23">
              <controlPr defaultSize="0" autoFill="0" autoLine="0" autoPict="0">
                <anchor moveWithCells="1">
                  <from>
                    <xdr:col>10</xdr:col>
                    <xdr:colOff>304800</xdr:colOff>
                    <xdr:row>91</xdr:row>
                    <xdr:rowOff>57150</xdr:rowOff>
                  </from>
                  <to>
                    <xdr:col>10</xdr:col>
                    <xdr:colOff>609600</xdr:colOff>
                    <xdr:row>91</xdr:row>
                    <xdr:rowOff>285750</xdr:rowOff>
                  </to>
                </anchor>
              </controlPr>
            </control>
          </mc:Choice>
        </mc:AlternateContent>
        <mc:AlternateContent xmlns:mc="http://schemas.openxmlformats.org/markup-compatibility/2006">
          <mc:Choice Requires="x14">
            <control shapeId="1048" r:id="rId15" name="Check Box 24">
              <controlPr defaultSize="0" autoFill="0" autoLine="0" autoPict="0">
                <anchor moveWithCells="1">
                  <from>
                    <xdr:col>10</xdr:col>
                    <xdr:colOff>304800</xdr:colOff>
                    <xdr:row>92</xdr:row>
                    <xdr:rowOff>57150</xdr:rowOff>
                  </from>
                  <to>
                    <xdr:col>10</xdr:col>
                    <xdr:colOff>609600</xdr:colOff>
                    <xdr:row>92</xdr:row>
                    <xdr:rowOff>285750</xdr:rowOff>
                  </to>
                </anchor>
              </controlPr>
            </control>
          </mc:Choice>
        </mc:AlternateContent>
        <mc:AlternateContent xmlns:mc="http://schemas.openxmlformats.org/markup-compatibility/2006">
          <mc:Choice Requires="x14">
            <control shapeId="1049" r:id="rId16" name="Check Box 25">
              <controlPr defaultSize="0" autoFill="0" autoLine="0" autoPict="0">
                <anchor moveWithCells="1">
                  <from>
                    <xdr:col>10</xdr:col>
                    <xdr:colOff>304800</xdr:colOff>
                    <xdr:row>93</xdr:row>
                    <xdr:rowOff>31750</xdr:rowOff>
                  </from>
                  <to>
                    <xdr:col>10</xdr:col>
                    <xdr:colOff>609600</xdr:colOff>
                    <xdr:row>93</xdr:row>
                    <xdr:rowOff>260350</xdr:rowOff>
                  </to>
                </anchor>
              </controlPr>
            </control>
          </mc:Choice>
        </mc:AlternateContent>
        <mc:AlternateContent xmlns:mc="http://schemas.openxmlformats.org/markup-compatibility/2006">
          <mc:Choice Requires="x14">
            <control shapeId="1053" r:id="rId17" name="Check Box 29">
              <controlPr defaultSize="0" autoFill="0" autoLine="0" autoPict="0">
                <anchor moveWithCells="1">
                  <from>
                    <xdr:col>6</xdr:col>
                    <xdr:colOff>114300</xdr:colOff>
                    <xdr:row>159</xdr:row>
                    <xdr:rowOff>50800</xdr:rowOff>
                  </from>
                  <to>
                    <xdr:col>6</xdr:col>
                    <xdr:colOff>412750</xdr:colOff>
                    <xdr:row>159</xdr:row>
                    <xdr:rowOff>279400</xdr:rowOff>
                  </to>
                </anchor>
              </controlPr>
            </control>
          </mc:Choice>
        </mc:AlternateContent>
        <mc:AlternateContent xmlns:mc="http://schemas.openxmlformats.org/markup-compatibility/2006">
          <mc:Choice Requires="x14">
            <control shapeId="1054" r:id="rId18" name="Check Box 30">
              <controlPr defaultSize="0" autoFill="0" autoLine="0" autoPict="0">
                <anchor moveWithCells="1">
                  <from>
                    <xdr:col>6</xdr:col>
                    <xdr:colOff>107950</xdr:colOff>
                    <xdr:row>161</xdr:row>
                    <xdr:rowOff>0</xdr:rowOff>
                  </from>
                  <to>
                    <xdr:col>6</xdr:col>
                    <xdr:colOff>400050</xdr:colOff>
                    <xdr:row>161</xdr:row>
                    <xdr:rowOff>222250</xdr:rowOff>
                  </to>
                </anchor>
              </controlPr>
            </control>
          </mc:Choice>
        </mc:AlternateContent>
        <mc:AlternateContent xmlns:mc="http://schemas.openxmlformats.org/markup-compatibility/2006">
          <mc:Choice Requires="x14">
            <control shapeId="1055" r:id="rId19" name="Check Box 31">
              <controlPr defaultSize="0" autoFill="0" autoLine="0" autoPict="0">
                <anchor moveWithCells="1">
                  <from>
                    <xdr:col>6</xdr:col>
                    <xdr:colOff>107950</xdr:colOff>
                    <xdr:row>163</xdr:row>
                    <xdr:rowOff>19050</xdr:rowOff>
                  </from>
                  <to>
                    <xdr:col>6</xdr:col>
                    <xdr:colOff>400050</xdr:colOff>
                    <xdr:row>163</xdr:row>
                    <xdr:rowOff>247650</xdr:rowOff>
                  </to>
                </anchor>
              </controlPr>
            </control>
          </mc:Choice>
        </mc:AlternateContent>
        <mc:AlternateContent xmlns:mc="http://schemas.openxmlformats.org/markup-compatibility/2006">
          <mc:Choice Requires="x14">
            <control shapeId="1056" r:id="rId20" name="Check Box 32">
              <controlPr defaultSize="0" autoFill="0" autoLine="0" autoPict="0">
                <anchor moveWithCells="1">
                  <from>
                    <xdr:col>6</xdr:col>
                    <xdr:colOff>95250</xdr:colOff>
                    <xdr:row>165</xdr:row>
                    <xdr:rowOff>12700</xdr:rowOff>
                  </from>
                  <to>
                    <xdr:col>6</xdr:col>
                    <xdr:colOff>393700</xdr:colOff>
                    <xdr:row>165</xdr:row>
                    <xdr:rowOff>241300</xdr:rowOff>
                  </to>
                </anchor>
              </controlPr>
            </control>
          </mc:Choice>
        </mc:AlternateContent>
        <mc:AlternateContent xmlns:mc="http://schemas.openxmlformats.org/markup-compatibility/2006">
          <mc:Choice Requires="x14">
            <control shapeId="1057" r:id="rId21" name="Check Box 33">
              <controlPr defaultSize="0" autoFill="0" autoLine="0" autoPict="0">
                <anchor moveWithCells="1">
                  <from>
                    <xdr:col>6</xdr:col>
                    <xdr:colOff>95250</xdr:colOff>
                    <xdr:row>166</xdr:row>
                    <xdr:rowOff>488950</xdr:rowOff>
                  </from>
                  <to>
                    <xdr:col>6</xdr:col>
                    <xdr:colOff>393700</xdr:colOff>
                    <xdr:row>167</xdr:row>
                    <xdr:rowOff>222250</xdr:rowOff>
                  </to>
                </anchor>
              </controlPr>
            </control>
          </mc:Choice>
        </mc:AlternateContent>
        <mc:AlternateContent xmlns:mc="http://schemas.openxmlformats.org/markup-compatibility/2006">
          <mc:Choice Requires="x14">
            <control shapeId="1058" r:id="rId22" name="Check Box 34">
              <controlPr defaultSize="0" autoFill="0" autoLine="0" autoPict="0">
                <anchor moveWithCells="1">
                  <from>
                    <xdr:col>15</xdr:col>
                    <xdr:colOff>355600</xdr:colOff>
                    <xdr:row>157</xdr:row>
                    <xdr:rowOff>50800</xdr:rowOff>
                  </from>
                  <to>
                    <xdr:col>15</xdr:col>
                    <xdr:colOff>660400</xdr:colOff>
                    <xdr:row>158</xdr:row>
                    <xdr:rowOff>63500</xdr:rowOff>
                  </to>
                </anchor>
              </controlPr>
            </control>
          </mc:Choice>
        </mc:AlternateContent>
        <mc:AlternateContent xmlns:mc="http://schemas.openxmlformats.org/markup-compatibility/2006">
          <mc:Choice Requires="x14">
            <control shapeId="1059" r:id="rId23" name="Check Box 35">
              <controlPr defaultSize="0" autoFill="0" autoLine="0" autoPict="0">
                <anchor moveWithCells="1">
                  <from>
                    <xdr:col>15</xdr:col>
                    <xdr:colOff>355600</xdr:colOff>
                    <xdr:row>159</xdr:row>
                    <xdr:rowOff>38100</xdr:rowOff>
                  </from>
                  <to>
                    <xdr:col>15</xdr:col>
                    <xdr:colOff>660400</xdr:colOff>
                    <xdr:row>159</xdr:row>
                    <xdr:rowOff>266700</xdr:rowOff>
                  </to>
                </anchor>
              </controlPr>
            </control>
          </mc:Choice>
        </mc:AlternateContent>
        <mc:AlternateContent xmlns:mc="http://schemas.openxmlformats.org/markup-compatibility/2006">
          <mc:Choice Requires="x14">
            <control shapeId="1060" r:id="rId24" name="Check Box 36">
              <controlPr defaultSize="0" autoFill="0" autoLine="0" autoPict="0">
                <anchor moveWithCells="1">
                  <from>
                    <xdr:col>15</xdr:col>
                    <xdr:colOff>355600</xdr:colOff>
                    <xdr:row>161</xdr:row>
                    <xdr:rowOff>38100</xdr:rowOff>
                  </from>
                  <to>
                    <xdr:col>15</xdr:col>
                    <xdr:colOff>660400</xdr:colOff>
                    <xdr:row>161</xdr:row>
                    <xdr:rowOff>260350</xdr:rowOff>
                  </to>
                </anchor>
              </controlPr>
            </control>
          </mc:Choice>
        </mc:AlternateContent>
        <mc:AlternateContent xmlns:mc="http://schemas.openxmlformats.org/markup-compatibility/2006">
          <mc:Choice Requires="x14">
            <control shapeId="1061" r:id="rId25" name="Check Box 37">
              <controlPr defaultSize="0" autoFill="0" autoLine="0" autoPict="0">
                <anchor moveWithCells="1">
                  <from>
                    <xdr:col>15</xdr:col>
                    <xdr:colOff>355600</xdr:colOff>
                    <xdr:row>163</xdr:row>
                    <xdr:rowOff>50800</xdr:rowOff>
                  </from>
                  <to>
                    <xdr:col>15</xdr:col>
                    <xdr:colOff>660400</xdr:colOff>
                    <xdr:row>163</xdr:row>
                    <xdr:rowOff>279400</xdr:rowOff>
                  </to>
                </anchor>
              </controlPr>
            </control>
          </mc:Choice>
        </mc:AlternateContent>
        <mc:AlternateContent xmlns:mc="http://schemas.openxmlformats.org/markup-compatibility/2006">
          <mc:Choice Requires="x14">
            <control shapeId="1062" r:id="rId26" name="Check Box 38">
              <controlPr defaultSize="0" autoFill="0" autoLine="0" autoPict="0">
                <anchor moveWithCells="1">
                  <from>
                    <xdr:col>15</xdr:col>
                    <xdr:colOff>355600</xdr:colOff>
                    <xdr:row>165</xdr:row>
                    <xdr:rowOff>50800</xdr:rowOff>
                  </from>
                  <to>
                    <xdr:col>15</xdr:col>
                    <xdr:colOff>660400</xdr:colOff>
                    <xdr:row>165</xdr:row>
                    <xdr:rowOff>279400</xdr:rowOff>
                  </to>
                </anchor>
              </controlPr>
            </control>
          </mc:Choice>
        </mc:AlternateContent>
        <mc:AlternateContent xmlns:mc="http://schemas.openxmlformats.org/markup-compatibility/2006">
          <mc:Choice Requires="x14">
            <control shapeId="1063" r:id="rId27" name="Check Box 39">
              <controlPr defaultSize="0" autoFill="0" autoLine="0" autoPict="0">
                <anchor moveWithCells="1">
                  <from>
                    <xdr:col>15</xdr:col>
                    <xdr:colOff>355600</xdr:colOff>
                    <xdr:row>167</xdr:row>
                    <xdr:rowOff>31750</xdr:rowOff>
                  </from>
                  <to>
                    <xdr:col>15</xdr:col>
                    <xdr:colOff>660400</xdr:colOff>
                    <xdr:row>167</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98369C8-7439-4995-9BFC-A5E68FEFFE8D}">
          <x14:formula1>
            <xm:f>'Staff Info'!$D$1:$D$5</xm:f>
          </x14:formula1>
          <xm:sqref>L2:P2</xm:sqref>
        </x14:dataValidation>
        <x14:dataValidation type="list" allowBlank="1" showInputMessage="1" showErrorMessage="1" xr:uid="{652CA4B0-C330-4728-AE9A-77E8EB2C5452}">
          <x14:formula1>
            <xm:f>'Staff Info'!$G$1:$G$5</xm:f>
          </x14:formula1>
          <xm:sqref>F10 C10:D10 O10:P10 J10:K10 M10 F4:J4</xm:sqref>
        </x14:dataValidation>
        <x14:dataValidation type="list" allowBlank="1" showInputMessage="1" showErrorMessage="1" xr:uid="{9F646C1C-CAED-415C-BDBE-0A221708B0BC}">
          <x14:formula1>
            <xm:f>'Staff Info'!$A$1:$A$45</xm:f>
          </x14:formula1>
          <xm:sqref>K4:P4</xm:sqref>
        </x14:dataValidation>
        <x14:dataValidation type="list" allowBlank="1" showInputMessage="1" showErrorMessage="1" xr:uid="{DF5C71B5-890B-4DD3-ABEC-98EF315995C3}">
          <x14:formula1>
            <xm:f>'Staff Info'!$I$1:$I$364</xm:f>
          </x14:formula1>
          <xm:sqref>O7:P7 F7:H7 J7:K7 M7 C7:D7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D86E8-9D4C-4DD1-98C8-E801CF9852D6}">
  <sheetPr codeName="Sheet3">
    <pageSetUpPr fitToPage="1"/>
  </sheetPr>
  <dimension ref="A1:I27"/>
  <sheetViews>
    <sheetView workbookViewId="0">
      <selection activeCell="A3" sqref="A3"/>
    </sheetView>
  </sheetViews>
  <sheetFormatPr defaultRowHeight="14.5" x14ac:dyDescent="0.35"/>
  <cols>
    <col min="1" max="1" width="17.81640625" customWidth="1"/>
    <col min="2" max="2" width="23.7265625" customWidth="1"/>
    <col min="3" max="4" width="22.81640625" customWidth="1"/>
    <col min="5" max="5" width="19.81640625" customWidth="1"/>
    <col min="6" max="6" width="16.54296875" customWidth="1"/>
    <col min="7" max="7" width="15.81640625" customWidth="1"/>
    <col min="8" max="8" width="16.26953125" customWidth="1"/>
    <col min="9" max="9" width="33.81640625" customWidth="1"/>
  </cols>
  <sheetData>
    <row r="1" spans="1:9" x14ac:dyDescent="0.35">
      <c r="A1" s="320" t="s">
        <v>83</v>
      </c>
      <c r="B1" s="321"/>
      <c r="C1" s="321"/>
      <c r="D1" s="321"/>
      <c r="E1" s="321"/>
      <c r="F1" s="321"/>
      <c r="G1" s="321"/>
      <c r="H1" s="321"/>
      <c r="I1" s="321"/>
    </row>
    <row r="2" spans="1:9" ht="15" thickBot="1" x14ac:dyDescent="0.4">
      <c r="A2" s="322" t="s">
        <v>92</v>
      </c>
      <c r="B2" s="322"/>
      <c r="C2" s="322"/>
      <c r="D2" s="322"/>
      <c r="E2" s="322"/>
      <c r="F2" s="322"/>
      <c r="G2" s="322"/>
      <c r="H2" s="322"/>
      <c r="I2" s="322"/>
    </row>
    <row r="3" spans="1:9" ht="62.5" customHeight="1" x14ac:dyDescent="0.35">
      <c r="A3" s="105" t="s">
        <v>84</v>
      </c>
      <c r="B3" s="106" t="s">
        <v>580</v>
      </c>
      <c r="C3" s="105" t="s">
        <v>169</v>
      </c>
      <c r="D3" s="105" t="s">
        <v>170</v>
      </c>
      <c r="E3" s="105" t="s">
        <v>581</v>
      </c>
      <c r="F3" s="107" t="s">
        <v>85</v>
      </c>
      <c r="G3" s="107" t="s">
        <v>86</v>
      </c>
      <c r="H3" s="107" t="s">
        <v>87</v>
      </c>
      <c r="I3" s="11"/>
    </row>
    <row r="4" spans="1:9" x14ac:dyDescent="0.35">
      <c r="A4" s="12"/>
      <c r="B4" s="13">
        <v>50217</v>
      </c>
      <c r="C4" s="13">
        <v>47597</v>
      </c>
      <c r="D4" s="13">
        <v>46599</v>
      </c>
      <c r="E4" s="13">
        <v>44109</v>
      </c>
      <c r="F4" s="13">
        <f>E4*0.75</f>
        <v>33081.75</v>
      </c>
      <c r="G4" s="13">
        <f>E4*0.5</f>
        <v>22054.5</v>
      </c>
      <c r="H4" s="13">
        <f>E4*0.25</f>
        <v>11027.25</v>
      </c>
      <c r="I4" s="13"/>
    </row>
    <row r="5" spans="1:9" x14ac:dyDescent="0.35">
      <c r="A5" s="12">
        <v>1</v>
      </c>
      <c r="B5" s="14">
        <f>$B$4+$B$4*(A5/100)</f>
        <v>50719.17</v>
      </c>
      <c r="C5" s="14">
        <f>$C$4+$C$4*(A5/100)</f>
        <v>48072.97</v>
      </c>
      <c r="D5" s="14">
        <f>$D$4+$D$4*(A5/100)</f>
        <v>47064.99</v>
      </c>
      <c r="E5" s="13">
        <f>$E$4+$E$4*(A5/100)</f>
        <v>44550.09</v>
      </c>
      <c r="F5" s="13">
        <f>$F$4+$F$4*(A5/100)</f>
        <v>33412.567499999997</v>
      </c>
      <c r="G5" s="13">
        <f>$G$4+$G$4*(A5/100)</f>
        <v>22275.044999999998</v>
      </c>
      <c r="H5" s="13">
        <f>$H$4+$H$4*(A5/100)</f>
        <v>11137.522499999999</v>
      </c>
      <c r="I5" s="323" t="s">
        <v>88</v>
      </c>
    </row>
    <row r="6" spans="1:9" x14ac:dyDescent="0.35">
      <c r="A6" s="12">
        <v>2</v>
      </c>
      <c r="B6" s="14">
        <f t="shared" ref="B6:B18" si="0">$B$4+$B$4*(A6/100)</f>
        <v>51221.34</v>
      </c>
      <c r="C6" s="14">
        <f t="shared" ref="C6:C18" si="1">$C$4+$C$4*(A6/100)</f>
        <v>48548.94</v>
      </c>
      <c r="D6" s="14">
        <f t="shared" ref="D6:D18" si="2">$D$4+$D$4*(A6/100)</f>
        <v>47530.98</v>
      </c>
      <c r="E6" s="13">
        <f t="shared" ref="E6:E18" si="3">$E$4+$E$4*(A6/100)</f>
        <v>44991.18</v>
      </c>
      <c r="F6" s="13">
        <f t="shared" ref="F6:F18" si="4">$F$4+$F$4*(A6/100)</f>
        <v>33743.385000000002</v>
      </c>
      <c r="G6" s="13">
        <f t="shared" ref="G6:G18" si="5">$G$4+$G$4*(A6/100)</f>
        <v>22495.59</v>
      </c>
      <c r="H6" s="13">
        <f t="shared" ref="H6:H18" si="6">$H$4+$H$4*(A6/100)</f>
        <v>11247.795</v>
      </c>
      <c r="I6" s="324"/>
    </row>
    <row r="7" spans="1:9" x14ac:dyDescent="0.35">
      <c r="A7" s="12">
        <v>3</v>
      </c>
      <c r="B7" s="14">
        <f t="shared" si="0"/>
        <v>51723.51</v>
      </c>
      <c r="C7" s="14">
        <f t="shared" si="1"/>
        <v>49024.91</v>
      </c>
      <c r="D7" s="14">
        <f t="shared" si="2"/>
        <v>47996.97</v>
      </c>
      <c r="E7" s="13">
        <f t="shared" si="3"/>
        <v>45432.27</v>
      </c>
      <c r="F7" s="13">
        <f t="shared" si="4"/>
        <v>34074.202499999999</v>
      </c>
      <c r="G7" s="13">
        <f t="shared" si="5"/>
        <v>22716.134999999998</v>
      </c>
      <c r="H7" s="13">
        <f t="shared" si="6"/>
        <v>11358.067499999999</v>
      </c>
      <c r="I7" s="325"/>
    </row>
    <row r="8" spans="1:9" x14ac:dyDescent="0.35">
      <c r="A8" s="12">
        <v>4</v>
      </c>
      <c r="B8" s="14">
        <f t="shared" si="0"/>
        <v>52225.68</v>
      </c>
      <c r="C8" s="14">
        <f t="shared" si="1"/>
        <v>49500.88</v>
      </c>
      <c r="D8" s="14">
        <f t="shared" si="2"/>
        <v>48462.96</v>
      </c>
      <c r="E8" s="13">
        <f t="shared" si="3"/>
        <v>45873.36</v>
      </c>
      <c r="F8" s="13">
        <f t="shared" si="4"/>
        <v>34405.019999999997</v>
      </c>
      <c r="G8" s="13">
        <f t="shared" si="5"/>
        <v>22936.68</v>
      </c>
      <c r="H8" s="13">
        <f t="shared" si="6"/>
        <v>11468.34</v>
      </c>
      <c r="I8" s="326"/>
    </row>
    <row r="9" spans="1:9" ht="14.5" customHeight="1" x14ac:dyDescent="0.35">
      <c r="A9" s="12">
        <v>5</v>
      </c>
      <c r="B9" s="14">
        <f t="shared" si="0"/>
        <v>52727.85</v>
      </c>
      <c r="C9" s="14">
        <f t="shared" si="1"/>
        <v>49976.85</v>
      </c>
      <c r="D9" s="14">
        <f t="shared" si="2"/>
        <v>48928.95</v>
      </c>
      <c r="E9" s="13">
        <f t="shared" si="3"/>
        <v>46314.45</v>
      </c>
      <c r="F9" s="13">
        <f t="shared" si="4"/>
        <v>34735.837500000001</v>
      </c>
      <c r="G9" s="13">
        <f t="shared" si="5"/>
        <v>23157.224999999999</v>
      </c>
      <c r="H9" s="13">
        <f t="shared" si="6"/>
        <v>11578.612499999999</v>
      </c>
      <c r="I9" s="323" t="s">
        <v>582</v>
      </c>
    </row>
    <row r="10" spans="1:9" x14ac:dyDescent="0.35">
      <c r="A10" s="12">
        <v>6</v>
      </c>
      <c r="B10" s="14">
        <f t="shared" si="0"/>
        <v>53230.02</v>
      </c>
      <c r="C10" s="14">
        <f t="shared" si="1"/>
        <v>50452.82</v>
      </c>
      <c r="D10" s="14">
        <f t="shared" si="2"/>
        <v>49394.94</v>
      </c>
      <c r="E10" s="13">
        <f t="shared" si="3"/>
        <v>46755.54</v>
      </c>
      <c r="F10" s="13">
        <f t="shared" si="4"/>
        <v>35066.654999999999</v>
      </c>
      <c r="G10" s="13">
        <f t="shared" si="5"/>
        <v>23377.77</v>
      </c>
      <c r="H10" s="13">
        <f t="shared" si="6"/>
        <v>11688.885</v>
      </c>
      <c r="I10" s="324"/>
    </row>
    <row r="11" spans="1:9" x14ac:dyDescent="0.35">
      <c r="A11" s="12">
        <v>7</v>
      </c>
      <c r="B11" s="14">
        <f t="shared" si="0"/>
        <v>53732.19</v>
      </c>
      <c r="C11" s="14">
        <f t="shared" si="1"/>
        <v>50928.79</v>
      </c>
      <c r="D11" s="14">
        <f t="shared" si="2"/>
        <v>49860.93</v>
      </c>
      <c r="E11" s="13">
        <f t="shared" si="3"/>
        <v>47196.63</v>
      </c>
      <c r="F11" s="13">
        <f t="shared" si="4"/>
        <v>35397.472500000003</v>
      </c>
      <c r="G11" s="13">
        <f t="shared" si="5"/>
        <v>23598.314999999999</v>
      </c>
      <c r="H11" s="13">
        <f t="shared" si="6"/>
        <v>11799.157499999999</v>
      </c>
      <c r="I11" s="324"/>
    </row>
    <row r="12" spans="1:9" x14ac:dyDescent="0.35">
      <c r="A12" s="12">
        <v>8</v>
      </c>
      <c r="B12" s="14">
        <f t="shared" si="0"/>
        <v>54234.36</v>
      </c>
      <c r="C12" s="14">
        <f t="shared" si="1"/>
        <v>51404.76</v>
      </c>
      <c r="D12" s="14">
        <f t="shared" si="2"/>
        <v>50326.92</v>
      </c>
      <c r="E12" s="13">
        <f t="shared" si="3"/>
        <v>47637.72</v>
      </c>
      <c r="F12" s="13">
        <f t="shared" si="4"/>
        <v>35728.29</v>
      </c>
      <c r="G12" s="13">
        <f t="shared" si="5"/>
        <v>23818.86</v>
      </c>
      <c r="H12" s="13">
        <f t="shared" si="6"/>
        <v>11909.43</v>
      </c>
      <c r="I12" s="324"/>
    </row>
    <row r="13" spans="1:9" x14ac:dyDescent="0.35">
      <c r="A13" s="12">
        <v>9</v>
      </c>
      <c r="B13" s="14">
        <f t="shared" si="0"/>
        <v>54736.53</v>
      </c>
      <c r="C13" s="14">
        <f t="shared" si="1"/>
        <v>51880.729999999996</v>
      </c>
      <c r="D13" s="14">
        <f t="shared" si="2"/>
        <v>50792.91</v>
      </c>
      <c r="E13" s="13">
        <f t="shared" si="3"/>
        <v>48078.81</v>
      </c>
      <c r="F13" s="13">
        <f t="shared" si="4"/>
        <v>36059.107499999998</v>
      </c>
      <c r="G13" s="13">
        <f t="shared" si="5"/>
        <v>24039.404999999999</v>
      </c>
      <c r="H13" s="13">
        <f t="shared" si="6"/>
        <v>12019.702499999999</v>
      </c>
      <c r="I13" s="324"/>
    </row>
    <row r="14" spans="1:9" x14ac:dyDescent="0.35">
      <c r="A14" s="12">
        <v>10</v>
      </c>
      <c r="B14" s="14">
        <f t="shared" si="0"/>
        <v>55238.7</v>
      </c>
      <c r="C14" s="14">
        <f t="shared" si="1"/>
        <v>52356.7</v>
      </c>
      <c r="D14" s="14">
        <f t="shared" si="2"/>
        <v>51258.9</v>
      </c>
      <c r="E14" s="13">
        <f t="shared" si="3"/>
        <v>48519.9</v>
      </c>
      <c r="F14" s="13">
        <f t="shared" si="4"/>
        <v>36389.925000000003</v>
      </c>
      <c r="G14" s="13">
        <f t="shared" si="5"/>
        <v>24259.95</v>
      </c>
      <c r="H14" s="13">
        <f t="shared" si="6"/>
        <v>12129.975</v>
      </c>
      <c r="I14" s="324"/>
    </row>
    <row r="15" spans="1:9" x14ac:dyDescent="0.35">
      <c r="A15" s="12">
        <v>11</v>
      </c>
      <c r="B15" s="14">
        <f t="shared" si="0"/>
        <v>55740.87</v>
      </c>
      <c r="C15" s="14">
        <f t="shared" si="1"/>
        <v>52832.67</v>
      </c>
      <c r="D15" s="14">
        <f t="shared" si="2"/>
        <v>51724.89</v>
      </c>
      <c r="E15" s="13">
        <f t="shared" si="3"/>
        <v>48960.99</v>
      </c>
      <c r="F15" s="13">
        <f t="shared" si="4"/>
        <v>36720.7425</v>
      </c>
      <c r="G15" s="13">
        <f t="shared" si="5"/>
        <v>24480.494999999999</v>
      </c>
      <c r="H15" s="13">
        <f t="shared" si="6"/>
        <v>12240.247499999999</v>
      </c>
      <c r="I15" s="324"/>
    </row>
    <row r="16" spans="1:9" x14ac:dyDescent="0.35">
      <c r="A16" s="12">
        <v>12</v>
      </c>
      <c r="B16" s="14">
        <f t="shared" si="0"/>
        <v>56243.040000000001</v>
      </c>
      <c r="C16" s="14">
        <f t="shared" si="1"/>
        <v>53308.639999999999</v>
      </c>
      <c r="D16" s="14">
        <f t="shared" si="2"/>
        <v>52190.879999999997</v>
      </c>
      <c r="E16" s="13">
        <f t="shared" si="3"/>
        <v>49402.080000000002</v>
      </c>
      <c r="F16" s="13">
        <f t="shared" si="4"/>
        <v>37051.56</v>
      </c>
      <c r="G16" s="13">
        <f t="shared" si="5"/>
        <v>24701.040000000001</v>
      </c>
      <c r="H16" s="13">
        <f t="shared" si="6"/>
        <v>12350.52</v>
      </c>
      <c r="I16" s="325"/>
    </row>
    <row r="17" spans="1:9" ht="14.5" customHeight="1" x14ac:dyDescent="0.35">
      <c r="A17" s="12">
        <v>13</v>
      </c>
      <c r="B17" s="14">
        <f t="shared" si="0"/>
        <v>56745.21</v>
      </c>
      <c r="C17" s="14">
        <f t="shared" si="1"/>
        <v>53784.61</v>
      </c>
      <c r="D17" s="14">
        <f t="shared" si="2"/>
        <v>52656.87</v>
      </c>
      <c r="E17" s="13">
        <f t="shared" si="3"/>
        <v>49843.17</v>
      </c>
      <c r="F17" s="13">
        <f t="shared" si="4"/>
        <v>37382.377500000002</v>
      </c>
      <c r="G17" s="13">
        <f t="shared" si="5"/>
        <v>24921.584999999999</v>
      </c>
      <c r="H17" s="13">
        <f t="shared" si="6"/>
        <v>12460.7925</v>
      </c>
      <c r="I17" s="327" t="s">
        <v>583</v>
      </c>
    </row>
    <row r="18" spans="1:9" x14ac:dyDescent="0.35">
      <c r="A18" s="12">
        <v>14</v>
      </c>
      <c r="B18" s="14">
        <f t="shared" si="0"/>
        <v>57247.380000000005</v>
      </c>
      <c r="C18" s="14">
        <f t="shared" si="1"/>
        <v>54260.58</v>
      </c>
      <c r="D18" s="14">
        <f t="shared" si="2"/>
        <v>53122.86</v>
      </c>
      <c r="E18" s="13">
        <f t="shared" si="3"/>
        <v>50284.26</v>
      </c>
      <c r="F18" s="13">
        <f t="shared" si="4"/>
        <v>37713.195</v>
      </c>
      <c r="G18" s="13">
        <f t="shared" si="5"/>
        <v>25142.13</v>
      </c>
      <c r="H18" s="13">
        <f t="shared" si="6"/>
        <v>12571.065000000001</v>
      </c>
      <c r="I18" s="328"/>
    </row>
    <row r="19" spans="1:9" x14ac:dyDescent="0.35">
      <c r="A19" s="12">
        <v>15</v>
      </c>
      <c r="B19" s="14">
        <f t="shared" ref="B19:B24" si="7">$B$4+$B$4*(A19/100)</f>
        <v>57749.55</v>
      </c>
      <c r="C19" s="14">
        <f t="shared" ref="C19:C24" si="8">$C$4+$C$4*(A19/100)</f>
        <v>54736.55</v>
      </c>
      <c r="D19" s="14">
        <f t="shared" ref="D19:D24" si="9">$D$4+$D$4*(A19/100)</f>
        <v>53588.85</v>
      </c>
      <c r="E19" s="13">
        <f t="shared" ref="E19:E24" si="10">$E$4+$E$4*(A19/100)</f>
        <v>50725.35</v>
      </c>
      <c r="F19" s="13">
        <f t="shared" ref="F19:F24" si="11">$F$4+$F$4*(A19/100)</f>
        <v>38044.012499999997</v>
      </c>
      <c r="G19" s="13">
        <f t="shared" ref="G19:G24" si="12">$G$4+$G$4*(A19/100)</f>
        <v>25362.674999999999</v>
      </c>
      <c r="H19" s="13">
        <f t="shared" ref="H19:H24" si="13">$H$4+$H$4*(A19/100)</f>
        <v>12681.3375</v>
      </c>
      <c r="I19" s="328"/>
    </row>
    <row r="20" spans="1:9" x14ac:dyDescent="0.35">
      <c r="A20" s="12">
        <v>16</v>
      </c>
      <c r="B20" s="14">
        <f t="shared" si="7"/>
        <v>58251.72</v>
      </c>
      <c r="C20" s="14">
        <f t="shared" si="8"/>
        <v>55212.520000000004</v>
      </c>
      <c r="D20" s="14">
        <f t="shared" si="9"/>
        <v>54054.84</v>
      </c>
      <c r="E20" s="13">
        <f t="shared" si="10"/>
        <v>51166.44</v>
      </c>
      <c r="F20" s="13">
        <f t="shared" si="11"/>
        <v>38374.83</v>
      </c>
      <c r="G20" s="13">
        <f t="shared" si="12"/>
        <v>25583.22</v>
      </c>
      <c r="H20" s="13">
        <f t="shared" si="13"/>
        <v>12791.61</v>
      </c>
      <c r="I20" s="328"/>
    </row>
    <row r="21" spans="1:9" x14ac:dyDescent="0.35">
      <c r="A21" s="12">
        <v>17</v>
      </c>
      <c r="B21" s="14">
        <f t="shared" si="7"/>
        <v>58753.89</v>
      </c>
      <c r="C21" s="14">
        <f t="shared" si="8"/>
        <v>55688.49</v>
      </c>
      <c r="D21" s="14">
        <f t="shared" si="9"/>
        <v>54520.83</v>
      </c>
      <c r="E21" s="13">
        <f t="shared" si="10"/>
        <v>51607.53</v>
      </c>
      <c r="F21" s="13">
        <f t="shared" si="11"/>
        <v>38705.647499999999</v>
      </c>
      <c r="G21" s="13">
        <f t="shared" si="12"/>
        <v>25803.764999999999</v>
      </c>
      <c r="H21" s="13">
        <f t="shared" si="13"/>
        <v>12901.8825</v>
      </c>
      <c r="I21" s="328"/>
    </row>
    <row r="22" spans="1:9" x14ac:dyDescent="0.35">
      <c r="A22" s="12">
        <v>18</v>
      </c>
      <c r="B22" s="14">
        <f t="shared" si="7"/>
        <v>59256.06</v>
      </c>
      <c r="C22" s="14">
        <f t="shared" si="8"/>
        <v>56164.46</v>
      </c>
      <c r="D22" s="14">
        <f t="shared" si="9"/>
        <v>54986.82</v>
      </c>
      <c r="E22" s="13">
        <f t="shared" si="10"/>
        <v>52048.62</v>
      </c>
      <c r="F22" s="13">
        <f t="shared" si="11"/>
        <v>39036.464999999997</v>
      </c>
      <c r="G22" s="13">
        <f t="shared" si="12"/>
        <v>26024.31</v>
      </c>
      <c r="H22" s="13">
        <f t="shared" si="13"/>
        <v>13012.155000000001</v>
      </c>
      <c r="I22" s="328"/>
    </row>
    <row r="23" spans="1:9" x14ac:dyDescent="0.35">
      <c r="A23" s="12">
        <v>19</v>
      </c>
      <c r="B23" s="14">
        <f t="shared" si="7"/>
        <v>59758.229999999996</v>
      </c>
      <c r="C23" s="14">
        <f t="shared" si="8"/>
        <v>56640.43</v>
      </c>
      <c r="D23" s="14">
        <f t="shared" si="9"/>
        <v>55452.81</v>
      </c>
      <c r="E23" s="13">
        <f t="shared" si="10"/>
        <v>52489.71</v>
      </c>
      <c r="F23" s="13">
        <f t="shared" si="11"/>
        <v>39367.282500000001</v>
      </c>
      <c r="G23" s="13">
        <f t="shared" si="12"/>
        <v>26244.855</v>
      </c>
      <c r="H23" s="13">
        <f t="shared" si="13"/>
        <v>13122.4275</v>
      </c>
      <c r="I23" s="329"/>
    </row>
    <row r="24" spans="1:9" x14ac:dyDescent="0.35">
      <c r="A24" s="12">
        <v>20</v>
      </c>
      <c r="B24" s="14">
        <f t="shared" si="7"/>
        <v>60260.4</v>
      </c>
      <c r="C24" s="14">
        <f t="shared" si="8"/>
        <v>57116.4</v>
      </c>
      <c r="D24" s="14">
        <f t="shared" si="9"/>
        <v>55918.8</v>
      </c>
      <c r="E24" s="13">
        <f t="shared" si="10"/>
        <v>52930.8</v>
      </c>
      <c r="F24" s="13">
        <f t="shared" si="11"/>
        <v>39698.1</v>
      </c>
      <c r="G24" s="13">
        <f t="shared" si="12"/>
        <v>26465.4</v>
      </c>
      <c r="H24" s="13">
        <f t="shared" si="13"/>
        <v>13232.7</v>
      </c>
      <c r="I24" s="15" t="s">
        <v>89</v>
      </c>
    </row>
    <row r="25" spans="1:9" x14ac:dyDescent="0.35">
      <c r="A25" s="16"/>
      <c r="B25" s="16"/>
      <c r="C25" s="16"/>
      <c r="D25" s="16"/>
      <c r="E25" s="16"/>
      <c r="F25" s="16"/>
      <c r="G25" s="16"/>
      <c r="H25" s="16"/>
      <c r="I25" s="17"/>
    </row>
    <row r="26" spans="1:9" x14ac:dyDescent="0.35">
      <c r="A26" s="16" t="s">
        <v>90</v>
      </c>
      <c r="B26" s="16"/>
      <c r="C26" s="16"/>
      <c r="D26" s="16"/>
      <c r="E26" s="16"/>
      <c r="F26" s="16"/>
      <c r="G26" s="16"/>
      <c r="H26" s="16"/>
      <c r="I26" s="17"/>
    </row>
    <row r="27" spans="1:9" x14ac:dyDescent="0.35">
      <c r="A27" s="16" t="s">
        <v>91</v>
      </c>
      <c r="B27" s="16"/>
      <c r="C27" s="16"/>
      <c r="D27" s="16"/>
      <c r="E27" s="16"/>
      <c r="F27" s="16"/>
      <c r="G27" s="16"/>
      <c r="H27" s="16"/>
      <c r="I27" s="17"/>
    </row>
  </sheetData>
  <sheetProtection algorithmName="SHA-512" hashValue="SzqGb3Mvwk8WgLyEAEt2xaoamKwMZTBIuFNAevZ3ZVAsXZNJLOICuZLKNLuCGrwH4qQF/tZfVSMWW3cle4swsQ==" saltValue="CAMFHTg1LH5Bi98U69KJjA==" spinCount="100000" sheet="1" objects="1" scenarios="1"/>
  <mergeCells count="5">
    <mergeCell ref="A1:I1"/>
    <mergeCell ref="A2:I2"/>
    <mergeCell ref="I5:I7"/>
    <mergeCell ref="I9:I16"/>
    <mergeCell ref="I17:I23"/>
  </mergeCells>
  <hyperlinks>
    <hyperlink ref="I24" location="'Comp Form'!A1" display="Click here-return to Report" xr:uid="{C5D7191F-68B0-4013-BAA0-D834F64A294F}"/>
  </hyperlinks>
  <pageMargins left="0.7" right="0.7" top="0.75" bottom="0.75" header="0.3" footer="0.3"/>
  <pageSetup scale="7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41D2E-B5CF-48A9-90EE-CA0B9A1E0DA0}">
  <sheetPr codeName="Sheet4"/>
  <dimension ref="A1:K364"/>
  <sheetViews>
    <sheetView workbookViewId="0">
      <selection activeCell="I364" sqref="I364"/>
    </sheetView>
  </sheetViews>
  <sheetFormatPr defaultRowHeight="14.5" x14ac:dyDescent="0.35"/>
  <cols>
    <col min="1" max="1" width="53.26953125" bestFit="1" customWidth="1"/>
    <col min="4" max="4" width="21.54296875" bestFit="1" customWidth="1"/>
    <col min="7" max="7" width="21.54296875" bestFit="1" customWidth="1"/>
    <col min="9" max="9" width="45.54296875" bestFit="1" customWidth="1"/>
    <col min="11" max="11" width="16.36328125" style="109" customWidth="1"/>
  </cols>
  <sheetData>
    <row r="1" spans="1:11" ht="16" x14ac:dyDescent="0.4">
      <c r="A1" s="2" t="s">
        <v>77</v>
      </c>
      <c r="D1" s="1" t="s">
        <v>77</v>
      </c>
      <c r="E1" s="2"/>
      <c r="F1" s="2"/>
      <c r="G1" s="3" t="s">
        <v>77</v>
      </c>
      <c r="I1" t="s">
        <v>78</v>
      </c>
      <c r="J1" t="s">
        <v>535</v>
      </c>
      <c r="K1" s="109" t="s">
        <v>171</v>
      </c>
    </row>
    <row r="2" spans="1:11" ht="16" x14ac:dyDescent="0.4">
      <c r="A2" s="4" t="s">
        <v>41</v>
      </c>
      <c r="D2" t="s">
        <v>536</v>
      </c>
      <c r="E2" s="2"/>
      <c r="F2" s="2"/>
      <c r="G2" s="3" t="s">
        <v>42</v>
      </c>
      <c r="I2" t="s">
        <v>173</v>
      </c>
      <c r="J2">
        <v>185980</v>
      </c>
      <c r="K2" s="109">
        <v>12400</v>
      </c>
    </row>
    <row r="3" spans="1:11" ht="16" x14ac:dyDescent="0.4">
      <c r="A3" s="5" t="s">
        <v>126</v>
      </c>
      <c r="D3" t="s">
        <v>537</v>
      </c>
      <c r="E3" s="2"/>
      <c r="F3" s="2"/>
      <c r="G3" s="6" t="s">
        <v>44</v>
      </c>
      <c r="I3" t="s">
        <v>174</v>
      </c>
      <c r="J3">
        <v>185136</v>
      </c>
      <c r="K3" s="109">
        <v>11400</v>
      </c>
    </row>
    <row r="4" spans="1:11" ht="16.5" x14ac:dyDescent="0.45">
      <c r="A4" s="5" t="s">
        <v>43</v>
      </c>
      <c r="D4" s="7" t="s">
        <v>538</v>
      </c>
      <c r="E4" s="2"/>
      <c r="F4" s="2"/>
      <c r="G4" s="3" t="s">
        <v>45</v>
      </c>
      <c r="I4" t="s">
        <v>175</v>
      </c>
      <c r="J4">
        <v>60207</v>
      </c>
      <c r="K4" s="109">
        <v>18400</v>
      </c>
    </row>
    <row r="5" spans="1:11" ht="16" x14ac:dyDescent="0.4">
      <c r="A5" s="5" t="s">
        <v>127</v>
      </c>
      <c r="D5" t="s">
        <v>539</v>
      </c>
      <c r="E5" s="2"/>
      <c r="F5" s="2"/>
      <c r="G5" s="3" t="s">
        <v>47</v>
      </c>
      <c r="I5" t="s">
        <v>176</v>
      </c>
      <c r="J5">
        <v>186040</v>
      </c>
      <c r="K5" s="109">
        <v>11400</v>
      </c>
    </row>
    <row r="6" spans="1:11" ht="16" x14ac:dyDescent="0.4">
      <c r="A6" s="5" t="s">
        <v>545</v>
      </c>
      <c r="E6" s="2"/>
      <c r="F6" s="2"/>
      <c r="G6" s="3"/>
      <c r="I6" t="s">
        <v>177</v>
      </c>
      <c r="J6">
        <v>186027</v>
      </c>
      <c r="K6" s="109">
        <v>11400</v>
      </c>
    </row>
    <row r="7" spans="1:11" ht="16" x14ac:dyDescent="0.4">
      <c r="A7" s="5" t="s">
        <v>128</v>
      </c>
      <c r="E7" s="2"/>
      <c r="F7" s="2"/>
      <c r="G7" s="3"/>
      <c r="I7" t="s">
        <v>178</v>
      </c>
      <c r="J7">
        <v>62263</v>
      </c>
      <c r="K7" s="109">
        <v>14400</v>
      </c>
    </row>
    <row r="8" spans="1:11" ht="16" x14ac:dyDescent="0.4">
      <c r="A8" s="5" t="s">
        <v>46</v>
      </c>
      <c r="D8" s="1"/>
      <c r="E8" s="2"/>
      <c r="F8" s="2"/>
      <c r="G8" s="3"/>
      <c r="I8" t="s">
        <v>179</v>
      </c>
      <c r="J8">
        <v>60220</v>
      </c>
      <c r="K8" s="109">
        <v>11400</v>
      </c>
    </row>
    <row r="9" spans="1:11" ht="16" x14ac:dyDescent="0.4">
      <c r="A9" s="5" t="s">
        <v>129</v>
      </c>
      <c r="D9" s="1"/>
      <c r="E9" s="2"/>
      <c r="F9" s="2"/>
      <c r="G9" s="3"/>
      <c r="I9" t="s">
        <v>180</v>
      </c>
      <c r="J9">
        <v>186483</v>
      </c>
      <c r="K9" s="109">
        <v>13400</v>
      </c>
    </row>
    <row r="10" spans="1:11" ht="16" x14ac:dyDescent="0.4">
      <c r="A10" s="5" t="s">
        <v>130</v>
      </c>
      <c r="D10" s="1"/>
      <c r="E10" s="2"/>
      <c r="F10" s="2"/>
      <c r="G10" s="3"/>
      <c r="I10" t="s">
        <v>181</v>
      </c>
      <c r="J10">
        <v>187215</v>
      </c>
      <c r="K10" s="109">
        <v>11400</v>
      </c>
    </row>
    <row r="11" spans="1:11" ht="16" x14ac:dyDescent="0.35">
      <c r="A11" s="5" t="s">
        <v>131</v>
      </c>
      <c r="G11" s="8"/>
      <c r="I11" t="s">
        <v>182</v>
      </c>
      <c r="J11">
        <v>64967</v>
      </c>
      <c r="K11" s="109">
        <v>18400</v>
      </c>
    </row>
    <row r="12" spans="1:11" ht="16" x14ac:dyDescent="0.35">
      <c r="A12" s="5" t="s">
        <v>132</v>
      </c>
      <c r="G12" s="8"/>
      <c r="I12" t="s">
        <v>183</v>
      </c>
      <c r="J12">
        <v>65803</v>
      </c>
      <c r="K12" s="109">
        <v>17400</v>
      </c>
    </row>
    <row r="13" spans="1:11" ht="16" x14ac:dyDescent="0.35">
      <c r="A13" s="5" t="s">
        <v>133</v>
      </c>
      <c r="G13" s="8"/>
      <c r="I13" t="s">
        <v>184</v>
      </c>
      <c r="J13">
        <v>187157</v>
      </c>
      <c r="K13" s="109">
        <v>11400</v>
      </c>
    </row>
    <row r="14" spans="1:11" ht="16" x14ac:dyDescent="0.35">
      <c r="A14" s="5" t="s">
        <v>134</v>
      </c>
      <c r="G14" s="8"/>
      <c r="I14" t="s">
        <v>185</v>
      </c>
      <c r="J14">
        <v>187283</v>
      </c>
      <c r="K14" s="109">
        <v>11400</v>
      </c>
    </row>
    <row r="15" spans="1:11" ht="16" x14ac:dyDescent="0.35">
      <c r="A15" s="5" t="s">
        <v>135</v>
      </c>
      <c r="G15" s="8"/>
      <c r="I15" t="s">
        <v>186</v>
      </c>
      <c r="J15">
        <v>179842</v>
      </c>
      <c r="K15" s="109">
        <v>11400</v>
      </c>
    </row>
    <row r="16" spans="1:11" ht="16.5" x14ac:dyDescent="0.45">
      <c r="A16" s="5" t="s">
        <v>136</v>
      </c>
      <c r="F16" s="7"/>
      <c r="G16" s="8"/>
      <c r="I16" t="s">
        <v>187</v>
      </c>
      <c r="J16">
        <v>60264</v>
      </c>
      <c r="K16" s="109">
        <v>12400</v>
      </c>
    </row>
    <row r="17" spans="1:11" ht="16" x14ac:dyDescent="0.35">
      <c r="A17" s="5" t="s">
        <v>53</v>
      </c>
      <c r="G17" s="8"/>
      <c r="I17" t="s">
        <v>188</v>
      </c>
      <c r="J17">
        <v>185147</v>
      </c>
      <c r="K17" s="109">
        <v>11400</v>
      </c>
    </row>
    <row r="18" spans="1:11" ht="16" x14ac:dyDescent="0.35">
      <c r="A18" s="5" t="s">
        <v>137</v>
      </c>
      <c r="G18" s="8"/>
      <c r="I18" t="s">
        <v>189</v>
      </c>
      <c r="J18">
        <v>60286</v>
      </c>
      <c r="K18" s="109">
        <v>11400</v>
      </c>
    </row>
    <row r="19" spans="1:11" ht="16" x14ac:dyDescent="0.35">
      <c r="A19" s="5" t="s">
        <v>138</v>
      </c>
      <c r="G19" s="8"/>
      <c r="I19" t="s">
        <v>190</v>
      </c>
      <c r="J19">
        <v>187204</v>
      </c>
      <c r="K19" s="109">
        <v>11400</v>
      </c>
    </row>
    <row r="20" spans="1:11" ht="16" x14ac:dyDescent="0.35">
      <c r="A20" s="5" t="s">
        <v>139</v>
      </c>
      <c r="G20" s="8"/>
      <c r="I20" t="s">
        <v>191</v>
      </c>
      <c r="J20">
        <v>60300</v>
      </c>
      <c r="K20" s="109">
        <v>14400</v>
      </c>
    </row>
    <row r="21" spans="1:11" ht="16" x14ac:dyDescent="0.35">
      <c r="A21" s="5" t="s">
        <v>140</v>
      </c>
      <c r="D21" s="9"/>
      <c r="G21" s="8"/>
      <c r="I21" t="s">
        <v>192</v>
      </c>
      <c r="J21">
        <v>60914</v>
      </c>
      <c r="K21" s="109">
        <v>12400</v>
      </c>
    </row>
    <row r="22" spans="1:11" ht="16" x14ac:dyDescent="0.35">
      <c r="A22" s="5" t="s">
        <v>141</v>
      </c>
      <c r="G22" s="8"/>
      <c r="I22" t="s">
        <v>193</v>
      </c>
      <c r="J22">
        <v>185854</v>
      </c>
      <c r="K22" s="109">
        <v>11400</v>
      </c>
    </row>
    <row r="23" spans="1:11" ht="16" x14ac:dyDescent="0.35">
      <c r="A23" s="5" t="s">
        <v>142</v>
      </c>
      <c r="G23" s="8"/>
      <c r="I23" t="s">
        <v>194</v>
      </c>
      <c r="J23">
        <v>65882</v>
      </c>
      <c r="K23" s="109">
        <v>16400</v>
      </c>
    </row>
    <row r="24" spans="1:11" ht="16" x14ac:dyDescent="0.35">
      <c r="A24" s="5" t="s">
        <v>143</v>
      </c>
      <c r="G24" s="8"/>
      <c r="I24" t="s">
        <v>195</v>
      </c>
      <c r="J24">
        <v>62308</v>
      </c>
      <c r="K24" s="109">
        <v>14400</v>
      </c>
    </row>
    <row r="25" spans="1:11" ht="16" x14ac:dyDescent="0.35">
      <c r="A25" s="5" t="s">
        <v>144</v>
      </c>
      <c r="G25" s="8"/>
      <c r="I25" t="s">
        <v>196</v>
      </c>
      <c r="J25">
        <v>62321</v>
      </c>
      <c r="K25" s="109">
        <v>15400</v>
      </c>
    </row>
    <row r="26" spans="1:11" ht="16" x14ac:dyDescent="0.35">
      <c r="A26" s="5" t="s">
        <v>145</v>
      </c>
      <c r="G26" s="8"/>
      <c r="I26" t="s">
        <v>197</v>
      </c>
      <c r="J26">
        <v>64876</v>
      </c>
      <c r="K26" s="109">
        <v>11400</v>
      </c>
    </row>
    <row r="27" spans="1:11" ht="16" x14ac:dyDescent="0.35">
      <c r="A27" s="5" t="s">
        <v>146</v>
      </c>
      <c r="I27" t="s">
        <v>198</v>
      </c>
      <c r="J27">
        <v>60275</v>
      </c>
      <c r="K27" s="109">
        <v>14400</v>
      </c>
    </row>
    <row r="28" spans="1:11" x14ac:dyDescent="0.35">
      <c r="A28" t="s">
        <v>147</v>
      </c>
      <c r="I28" t="s">
        <v>199</v>
      </c>
      <c r="J28">
        <v>60322</v>
      </c>
      <c r="K28" s="109">
        <v>14400</v>
      </c>
    </row>
    <row r="29" spans="1:11" x14ac:dyDescent="0.35">
      <c r="A29" t="s">
        <v>148</v>
      </c>
      <c r="I29" t="s">
        <v>200</v>
      </c>
      <c r="J29">
        <v>186084</v>
      </c>
      <c r="K29" s="109">
        <v>11400</v>
      </c>
    </row>
    <row r="30" spans="1:11" x14ac:dyDescent="0.35">
      <c r="A30" t="s">
        <v>149</v>
      </c>
      <c r="I30" t="s">
        <v>201</v>
      </c>
      <c r="J30">
        <v>60344</v>
      </c>
      <c r="K30" s="109">
        <v>17400</v>
      </c>
    </row>
    <row r="31" spans="1:11" x14ac:dyDescent="0.35">
      <c r="A31" t="s">
        <v>150</v>
      </c>
      <c r="I31" t="s">
        <v>202</v>
      </c>
      <c r="J31">
        <v>65905</v>
      </c>
      <c r="K31" s="109">
        <v>13400</v>
      </c>
    </row>
    <row r="32" spans="1:11" x14ac:dyDescent="0.35">
      <c r="A32" t="s">
        <v>151</v>
      </c>
      <c r="I32" t="s">
        <v>203</v>
      </c>
      <c r="J32">
        <v>185160</v>
      </c>
      <c r="K32" s="109">
        <v>11400</v>
      </c>
    </row>
    <row r="33" spans="1:11" x14ac:dyDescent="0.35">
      <c r="A33" t="s">
        <v>48</v>
      </c>
      <c r="I33" t="s">
        <v>204</v>
      </c>
      <c r="J33">
        <v>179534</v>
      </c>
      <c r="K33" s="109">
        <v>13400</v>
      </c>
    </row>
    <row r="34" spans="1:11" x14ac:dyDescent="0.35">
      <c r="A34" t="s">
        <v>49</v>
      </c>
      <c r="I34" t="s">
        <v>205</v>
      </c>
      <c r="J34">
        <v>61736</v>
      </c>
      <c r="K34" s="109">
        <v>11400</v>
      </c>
    </row>
    <row r="35" spans="1:11" x14ac:dyDescent="0.35">
      <c r="A35" t="s">
        <v>152</v>
      </c>
      <c r="I35" t="s">
        <v>206</v>
      </c>
      <c r="J35">
        <v>65368</v>
      </c>
      <c r="K35" s="109">
        <v>13400</v>
      </c>
    </row>
    <row r="36" spans="1:11" x14ac:dyDescent="0.35">
      <c r="A36" t="s">
        <v>153</v>
      </c>
      <c r="I36" t="s">
        <v>207</v>
      </c>
      <c r="J36">
        <v>185240</v>
      </c>
      <c r="K36" s="109">
        <v>16400</v>
      </c>
    </row>
    <row r="37" spans="1:11" x14ac:dyDescent="0.35">
      <c r="A37" t="s">
        <v>50</v>
      </c>
      <c r="I37" t="s">
        <v>208</v>
      </c>
      <c r="J37">
        <v>60366</v>
      </c>
      <c r="K37" s="109">
        <v>11400</v>
      </c>
    </row>
    <row r="38" spans="1:11" x14ac:dyDescent="0.35">
      <c r="A38" t="s">
        <v>154</v>
      </c>
      <c r="I38" t="s">
        <v>209</v>
      </c>
      <c r="J38">
        <v>60388</v>
      </c>
      <c r="K38" s="109">
        <v>13400</v>
      </c>
    </row>
    <row r="39" spans="1:11" x14ac:dyDescent="0.35">
      <c r="A39" t="s">
        <v>155</v>
      </c>
      <c r="I39" t="s">
        <v>210</v>
      </c>
      <c r="J39">
        <v>186095</v>
      </c>
      <c r="K39" s="109">
        <v>12400</v>
      </c>
    </row>
    <row r="40" spans="1:11" x14ac:dyDescent="0.35">
      <c r="A40" t="s">
        <v>156</v>
      </c>
      <c r="I40" t="s">
        <v>211</v>
      </c>
      <c r="J40">
        <v>64045</v>
      </c>
      <c r="K40" s="109">
        <v>15400</v>
      </c>
    </row>
    <row r="41" spans="1:11" x14ac:dyDescent="0.35">
      <c r="A41" t="s">
        <v>157</v>
      </c>
      <c r="I41" t="s">
        <v>212</v>
      </c>
      <c r="J41">
        <v>185193</v>
      </c>
      <c r="K41" s="109">
        <v>11400</v>
      </c>
    </row>
    <row r="42" spans="1:11" x14ac:dyDescent="0.35">
      <c r="A42" t="s">
        <v>51</v>
      </c>
      <c r="I42" t="s">
        <v>213</v>
      </c>
      <c r="J42">
        <v>65940</v>
      </c>
      <c r="K42" s="109">
        <v>16400</v>
      </c>
    </row>
    <row r="43" spans="1:11" x14ac:dyDescent="0.35">
      <c r="A43" t="s">
        <v>52</v>
      </c>
      <c r="I43" t="s">
        <v>214</v>
      </c>
      <c r="J43">
        <v>60402</v>
      </c>
      <c r="K43" s="109">
        <v>11400</v>
      </c>
    </row>
    <row r="44" spans="1:11" x14ac:dyDescent="0.35">
      <c r="A44" t="s">
        <v>158</v>
      </c>
      <c r="I44" t="s">
        <v>215</v>
      </c>
      <c r="J44">
        <v>186530</v>
      </c>
      <c r="K44" s="109">
        <v>13400</v>
      </c>
    </row>
    <row r="45" spans="1:11" x14ac:dyDescent="0.35">
      <c r="A45" t="s">
        <v>159</v>
      </c>
      <c r="I45" t="s">
        <v>216</v>
      </c>
      <c r="J45">
        <v>60424</v>
      </c>
      <c r="K45" s="109">
        <v>11400</v>
      </c>
    </row>
    <row r="46" spans="1:11" x14ac:dyDescent="0.35">
      <c r="I46" t="s">
        <v>217</v>
      </c>
      <c r="J46">
        <v>62365</v>
      </c>
      <c r="K46" s="109">
        <v>18400</v>
      </c>
    </row>
    <row r="47" spans="1:11" x14ac:dyDescent="0.35">
      <c r="I47" t="s">
        <v>218</v>
      </c>
      <c r="J47">
        <v>62387</v>
      </c>
      <c r="K47" s="109">
        <v>14400</v>
      </c>
    </row>
    <row r="48" spans="1:11" x14ac:dyDescent="0.35">
      <c r="I48" t="s">
        <v>219</v>
      </c>
      <c r="J48">
        <v>60468</v>
      </c>
      <c r="K48" s="109">
        <v>11400</v>
      </c>
    </row>
    <row r="49" spans="9:11" x14ac:dyDescent="0.35">
      <c r="I49" t="s">
        <v>220</v>
      </c>
      <c r="J49">
        <v>65962</v>
      </c>
      <c r="K49" s="109">
        <v>11400</v>
      </c>
    </row>
    <row r="50" spans="9:11" x14ac:dyDescent="0.35">
      <c r="I50" t="s">
        <v>221</v>
      </c>
      <c r="J50">
        <v>64080</v>
      </c>
      <c r="K50" s="109">
        <v>11400</v>
      </c>
    </row>
    <row r="51" spans="9:11" x14ac:dyDescent="0.35">
      <c r="I51" t="s">
        <v>222</v>
      </c>
      <c r="J51">
        <v>60218</v>
      </c>
      <c r="K51" s="109">
        <v>13400</v>
      </c>
    </row>
    <row r="52" spans="9:11" x14ac:dyDescent="0.35">
      <c r="I52" t="s">
        <v>223</v>
      </c>
      <c r="J52">
        <v>60504</v>
      </c>
      <c r="K52" s="109">
        <v>12400</v>
      </c>
    </row>
    <row r="53" spans="9:11" x14ac:dyDescent="0.35">
      <c r="I53" t="s">
        <v>224</v>
      </c>
      <c r="J53">
        <v>963770</v>
      </c>
      <c r="K53" s="109">
        <v>12400</v>
      </c>
    </row>
    <row r="54" spans="9:11" x14ac:dyDescent="0.35">
      <c r="I54" t="s">
        <v>225</v>
      </c>
      <c r="J54">
        <v>963792</v>
      </c>
      <c r="K54" s="109">
        <v>15400</v>
      </c>
    </row>
    <row r="55" spans="9:11" x14ac:dyDescent="0.35">
      <c r="I55" t="s">
        <v>226</v>
      </c>
      <c r="J55">
        <v>65984</v>
      </c>
      <c r="K55" s="109">
        <v>11400</v>
      </c>
    </row>
    <row r="56" spans="9:11" x14ac:dyDescent="0.35">
      <c r="I56" t="s">
        <v>227</v>
      </c>
      <c r="J56">
        <v>66000</v>
      </c>
      <c r="K56" s="109">
        <v>12400</v>
      </c>
    </row>
    <row r="57" spans="9:11" x14ac:dyDescent="0.35">
      <c r="I57" t="s">
        <v>228</v>
      </c>
      <c r="J57">
        <v>187294</v>
      </c>
      <c r="K57" s="109">
        <v>12400</v>
      </c>
    </row>
    <row r="58" spans="9:11" x14ac:dyDescent="0.35">
      <c r="I58" t="s">
        <v>229</v>
      </c>
      <c r="J58">
        <v>186585</v>
      </c>
      <c r="K58" s="109">
        <v>14400</v>
      </c>
    </row>
    <row r="59" spans="9:11" x14ac:dyDescent="0.35">
      <c r="I59" t="s">
        <v>230</v>
      </c>
      <c r="J59">
        <v>64227</v>
      </c>
      <c r="K59" s="109">
        <v>12400</v>
      </c>
    </row>
    <row r="60" spans="9:11" x14ac:dyDescent="0.35">
      <c r="I60" t="s">
        <v>231</v>
      </c>
      <c r="J60">
        <v>185898</v>
      </c>
      <c r="K60" s="109">
        <v>11400</v>
      </c>
    </row>
    <row r="61" spans="9:11" x14ac:dyDescent="0.35">
      <c r="I61" t="s">
        <v>232</v>
      </c>
      <c r="J61">
        <v>66022</v>
      </c>
      <c r="K61" s="109">
        <v>15400</v>
      </c>
    </row>
    <row r="62" spans="9:11" x14ac:dyDescent="0.35">
      <c r="I62" t="s">
        <v>233</v>
      </c>
      <c r="J62">
        <v>64240</v>
      </c>
      <c r="K62" s="109">
        <v>11400</v>
      </c>
    </row>
    <row r="63" spans="9:11" x14ac:dyDescent="0.35">
      <c r="I63" t="s">
        <v>234</v>
      </c>
      <c r="J63">
        <v>65313</v>
      </c>
      <c r="K63" s="109">
        <v>13400</v>
      </c>
    </row>
    <row r="64" spans="9:11" x14ac:dyDescent="0.35">
      <c r="I64" t="s">
        <v>235</v>
      </c>
      <c r="J64">
        <v>64307</v>
      </c>
      <c r="K64" s="109">
        <v>14400</v>
      </c>
    </row>
    <row r="65" spans="9:11" x14ac:dyDescent="0.35">
      <c r="I65" t="s">
        <v>236</v>
      </c>
      <c r="J65">
        <v>65335</v>
      </c>
      <c r="K65" s="109">
        <v>13400</v>
      </c>
    </row>
    <row r="66" spans="9:11" x14ac:dyDescent="0.35">
      <c r="I66" t="s">
        <v>237</v>
      </c>
      <c r="J66">
        <v>62401</v>
      </c>
      <c r="K66" s="109">
        <v>13400</v>
      </c>
    </row>
    <row r="67" spans="9:11" x14ac:dyDescent="0.35">
      <c r="I67" t="s">
        <v>238</v>
      </c>
      <c r="J67">
        <v>179523</v>
      </c>
      <c r="K67" s="109">
        <v>13400</v>
      </c>
    </row>
    <row r="68" spans="9:11" x14ac:dyDescent="0.35">
      <c r="I68" t="s">
        <v>239</v>
      </c>
      <c r="J68">
        <v>66044</v>
      </c>
      <c r="K68" s="109">
        <v>16400</v>
      </c>
    </row>
    <row r="69" spans="9:11" x14ac:dyDescent="0.35">
      <c r="I69" t="s">
        <v>240</v>
      </c>
      <c r="J69">
        <v>60526</v>
      </c>
      <c r="K69" s="109">
        <v>11400</v>
      </c>
    </row>
    <row r="70" spans="9:11" x14ac:dyDescent="0.35">
      <c r="I70" t="s">
        <v>241</v>
      </c>
      <c r="J70">
        <v>66066</v>
      </c>
      <c r="K70" s="109">
        <v>13400</v>
      </c>
    </row>
    <row r="71" spans="9:11" x14ac:dyDescent="0.35">
      <c r="I71" t="s">
        <v>242</v>
      </c>
      <c r="J71">
        <v>186302</v>
      </c>
      <c r="K71" s="109">
        <v>11400</v>
      </c>
    </row>
    <row r="72" spans="9:11" x14ac:dyDescent="0.35">
      <c r="I72" t="s">
        <v>243</v>
      </c>
      <c r="J72">
        <v>60548</v>
      </c>
      <c r="K72" s="109">
        <v>11400</v>
      </c>
    </row>
    <row r="73" spans="9:11" x14ac:dyDescent="0.35">
      <c r="I73" t="s">
        <v>244</v>
      </c>
      <c r="J73">
        <v>62445</v>
      </c>
      <c r="K73" s="109">
        <v>11400</v>
      </c>
    </row>
    <row r="74" spans="9:11" x14ac:dyDescent="0.35">
      <c r="I74" t="s">
        <v>245</v>
      </c>
      <c r="J74">
        <v>185238</v>
      </c>
      <c r="K74" s="109">
        <v>11400</v>
      </c>
    </row>
    <row r="75" spans="9:11" x14ac:dyDescent="0.35">
      <c r="I75" t="s">
        <v>246</v>
      </c>
      <c r="J75">
        <v>64342</v>
      </c>
      <c r="K75" s="109">
        <v>11400</v>
      </c>
    </row>
    <row r="76" spans="9:11" x14ac:dyDescent="0.35">
      <c r="I76" t="s">
        <v>247</v>
      </c>
      <c r="J76">
        <v>963804</v>
      </c>
      <c r="K76" s="109">
        <v>11400</v>
      </c>
    </row>
    <row r="77" spans="9:11" x14ac:dyDescent="0.35">
      <c r="I77" t="s">
        <v>248</v>
      </c>
      <c r="J77">
        <v>185251</v>
      </c>
      <c r="K77" s="109">
        <v>13400</v>
      </c>
    </row>
    <row r="78" spans="9:11" x14ac:dyDescent="0.35">
      <c r="I78" t="s">
        <v>249</v>
      </c>
      <c r="J78">
        <v>67414</v>
      </c>
      <c r="K78" s="109">
        <v>11400</v>
      </c>
    </row>
    <row r="79" spans="9:11" x14ac:dyDescent="0.35">
      <c r="I79" t="s">
        <v>250</v>
      </c>
      <c r="J79">
        <v>63462</v>
      </c>
      <c r="K79" s="109">
        <v>12400</v>
      </c>
    </row>
    <row r="80" spans="9:11" x14ac:dyDescent="0.35">
      <c r="I80" t="s">
        <v>251</v>
      </c>
      <c r="J80">
        <v>66102</v>
      </c>
      <c r="K80" s="109">
        <v>15400</v>
      </c>
    </row>
    <row r="81" spans="9:11" x14ac:dyDescent="0.35">
      <c r="I81" t="s">
        <v>252</v>
      </c>
      <c r="J81">
        <v>60583</v>
      </c>
      <c r="K81" s="109">
        <v>18400</v>
      </c>
    </row>
    <row r="82" spans="9:11" x14ac:dyDescent="0.35">
      <c r="I82" t="s">
        <v>253</v>
      </c>
      <c r="J82">
        <v>185774</v>
      </c>
      <c r="K82" s="109">
        <v>11400</v>
      </c>
    </row>
    <row r="83" spans="9:11" x14ac:dyDescent="0.35">
      <c r="I83" t="s">
        <v>254</v>
      </c>
      <c r="J83">
        <v>64364</v>
      </c>
      <c r="K83" s="109">
        <v>14400</v>
      </c>
    </row>
    <row r="84" spans="9:11" x14ac:dyDescent="0.35">
      <c r="I84" t="s">
        <v>255</v>
      </c>
      <c r="J84">
        <v>65426</v>
      </c>
      <c r="K84" s="109">
        <v>13400</v>
      </c>
    </row>
    <row r="85" spans="9:11" x14ac:dyDescent="0.35">
      <c r="I85" t="s">
        <v>256</v>
      </c>
      <c r="J85">
        <v>179556</v>
      </c>
      <c r="K85" s="109">
        <v>11400</v>
      </c>
    </row>
    <row r="86" spans="9:11" x14ac:dyDescent="0.35">
      <c r="I86" t="s">
        <v>257</v>
      </c>
      <c r="J86">
        <v>60606</v>
      </c>
      <c r="K86" s="109">
        <v>13400</v>
      </c>
    </row>
    <row r="87" spans="9:11" x14ac:dyDescent="0.35">
      <c r="I87" t="s">
        <v>258</v>
      </c>
      <c r="J87">
        <v>60708</v>
      </c>
      <c r="K87" s="109">
        <v>18400</v>
      </c>
    </row>
    <row r="88" spans="9:11" x14ac:dyDescent="0.35">
      <c r="I88" t="s">
        <v>259</v>
      </c>
      <c r="J88">
        <v>60685</v>
      </c>
      <c r="K88" s="109">
        <v>13400</v>
      </c>
    </row>
    <row r="89" spans="9:11" x14ac:dyDescent="0.35">
      <c r="I89" t="s">
        <v>260</v>
      </c>
      <c r="J89">
        <v>60628</v>
      </c>
      <c r="K89" s="109">
        <v>15400</v>
      </c>
    </row>
    <row r="90" spans="9:11" x14ac:dyDescent="0.35">
      <c r="I90" t="s">
        <v>261</v>
      </c>
      <c r="J90">
        <v>64400</v>
      </c>
      <c r="K90" s="109">
        <v>11400</v>
      </c>
    </row>
    <row r="91" spans="9:11" x14ac:dyDescent="0.35">
      <c r="I91" t="s">
        <v>262</v>
      </c>
      <c r="J91">
        <v>61838</v>
      </c>
      <c r="K91" s="109">
        <v>15400</v>
      </c>
    </row>
    <row r="92" spans="9:11" x14ac:dyDescent="0.35">
      <c r="I92" t="s">
        <v>263</v>
      </c>
      <c r="J92">
        <v>64422</v>
      </c>
      <c r="K92" s="109">
        <v>18400</v>
      </c>
    </row>
    <row r="93" spans="9:11" x14ac:dyDescent="0.35">
      <c r="I93" t="s">
        <v>264</v>
      </c>
      <c r="J93">
        <v>185262</v>
      </c>
      <c r="K93" s="109">
        <v>18400</v>
      </c>
    </row>
    <row r="94" spans="9:11" x14ac:dyDescent="0.35">
      <c r="I94" t="s">
        <v>265</v>
      </c>
      <c r="J94">
        <v>66124</v>
      </c>
      <c r="K94" s="109">
        <v>13400</v>
      </c>
    </row>
    <row r="95" spans="9:11" x14ac:dyDescent="0.35">
      <c r="I95" t="s">
        <v>266</v>
      </c>
      <c r="J95">
        <v>179625</v>
      </c>
      <c r="K95" s="109">
        <v>13400</v>
      </c>
    </row>
    <row r="96" spans="9:11" x14ac:dyDescent="0.35">
      <c r="I96" t="s">
        <v>267</v>
      </c>
      <c r="J96">
        <v>186448</v>
      </c>
      <c r="K96" s="109">
        <v>12400</v>
      </c>
    </row>
    <row r="97" spans="9:11" x14ac:dyDescent="0.35">
      <c r="I97" t="s">
        <v>268</v>
      </c>
      <c r="J97">
        <v>185273</v>
      </c>
      <c r="K97" s="109">
        <v>17400</v>
      </c>
    </row>
    <row r="98" spans="9:11" x14ac:dyDescent="0.35">
      <c r="I98" t="s">
        <v>269</v>
      </c>
      <c r="J98">
        <v>185284</v>
      </c>
      <c r="K98" s="109">
        <v>14400</v>
      </c>
    </row>
    <row r="99" spans="9:11" x14ac:dyDescent="0.35">
      <c r="I99" t="s">
        <v>270</v>
      </c>
      <c r="J99">
        <v>62467</v>
      </c>
      <c r="K99" s="109">
        <v>11400</v>
      </c>
    </row>
    <row r="100" spans="9:11" x14ac:dyDescent="0.35">
      <c r="I100" t="s">
        <v>271</v>
      </c>
      <c r="J100">
        <v>61771</v>
      </c>
      <c r="K100" s="109">
        <v>15400</v>
      </c>
    </row>
    <row r="101" spans="9:11" x14ac:dyDescent="0.35">
      <c r="I101" t="s">
        <v>272</v>
      </c>
      <c r="J101">
        <v>186131</v>
      </c>
      <c r="K101" s="109">
        <v>16400</v>
      </c>
    </row>
    <row r="102" spans="9:11" x14ac:dyDescent="0.35">
      <c r="I102" t="s">
        <v>273</v>
      </c>
      <c r="J102">
        <v>60743</v>
      </c>
      <c r="K102" s="109">
        <v>13400</v>
      </c>
    </row>
    <row r="103" spans="9:11" x14ac:dyDescent="0.35">
      <c r="I103" t="s">
        <v>274</v>
      </c>
      <c r="J103">
        <v>185205</v>
      </c>
      <c r="K103" s="109">
        <v>11400</v>
      </c>
    </row>
    <row r="104" spans="9:11" x14ac:dyDescent="0.35">
      <c r="I104" t="s">
        <v>275</v>
      </c>
      <c r="J104">
        <v>60765</v>
      </c>
      <c r="K104" s="109">
        <v>12400</v>
      </c>
    </row>
    <row r="105" spans="9:11" x14ac:dyDescent="0.35">
      <c r="I105" t="s">
        <v>276</v>
      </c>
      <c r="J105">
        <v>186871</v>
      </c>
      <c r="K105" s="109">
        <v>11400</v>
      </c>
    </row>
    <row r="106" spans="9:11" x14ac:dyDescent="0.35">
      <c r="I106" t="s">
        <v>277</v>
      </c>
      <c r="J106">
        <v>185295</v>
      </c>
      <c r="K106" s="109">
        <v>11400</v>
      </c>
    </row>
    <row r="107" spans="9:11" x14ac:dyDescent="0.35">
      <c r="I107" t="s">
        <v>278</v>
      </c>
      <c r="J107">
        <v>62480</v>
      </c>
      <c r="K107" s="109">
        <v>14400</v>
      </c>
    </row>
    <row r="108" spans="9:11" x14ac:dyDescent="0.35">
      <c r="I108" t="s">
        <v>279</v>
      </c>
      <c r="J108">
        <v>186940</v>
      </c>
      <c r="K108" s="109">
        <v>11400</v>
      </c>
    </row>
    <row r="109" spans="9:11" x14ac:dyDescent="0.35">
      <c r="I109" t="s">
        <v>280</v>
      </c>
      <c r="J109">
        <v>64502</v>
      </c>
      <c r="K109" s="109">
        <v>11400</v>
      </c>
    </row>
    <row r="110" spans="9:11" x14ac:dyDescent="0.35">
      <c r="I110" t="s">
        <v>281</v>
      </c>
      <c r="J110">
        <v>67301</v>
      </c>
      <c r="K110" s="109">
        <v>13400</v>
      </c>
    </row>
    <row r="111" spans="9:11" x14ac:dyDescent="0.35">
      <c r="I111" t="s">
        <v>282</v>
      </c>
      <c r="J111">
        <v>66168</v>
      </c>
      <c r="K111" s="109">
        <v>11400</v>
      </c>
    </row>
    <row r="112" spans="9:11" x14ac:dyDescent="0.35">
      <c r="I112" t="s">
        <v>283</v>
      </c>
      <c r="J112">
        <v>62503</v>
      </c>
      <c r="K112" s="109">
        <v>11400</v>
      </c>
    </row>
    <row r="113" spans="9:11" x14ac:dyDescent="0.35">
      <c r="I113" t="s">
        <v>284</v>
      </c>
      <c r="J113">
        <v>62525</v>
      </c>
      <c r="K113" s="109">
        <v>11400</v>
      </c>
    </row>
    <row r="114" spans="9:11" x14ac:dyDescent="0.35">
      <c r="I114" t="s">
        <v>285</v>
      </c>
      <c r="J114">
        <v>66204</v>
      </c>
      <c r="K114" s="109">
        <v>13400</v>
      </c>
    </row>
    <row r="115" spans="9:11" x14ac:dyDescent="0.35">
      <c r="I115" t="s">
        <v>286</v>
      </c>
      <c r="J115">
        <v>62547</v>
      </c>
      <c r="K115" s="109">
        <v>14400</v>
      </c>
    </row>
    <row r="116" spans="9:11" x14ac:dyDescent="0.35">
      <c r="I116" t="s">
        <v>287</v>
      </c>
      <c r="J116">
        <v>61678</v>
      </c>
      <c r="K116" s="109">
        <v>11400</v>
      </c>
    </row>
    <row r="117" spans="9:11" x14ac:dyDescent="0.35">
      <c r="I117" t="s">
        <v>288</v>
      </c>
      <c r="J117">
        <v>66226</v>
      </c>
      <c r="K117" s="109">
        <v>11400</v>
      </c>
    </row>
    <row r="118" spans="9:11" x14ac:dyDescent="0.35">
      <c r="I118" t="s">
        <v>289</v>
      </c>
      <c r="J118">
        <v>179682</v>
      </c>
      <c r="K118" s="109">
        <v>11400</v>
      </c>
    </row>
    <row r="119" spans="9:11" x14ac:dyDescent="0.35">
      <c r="I119" t="s">
        <v>290</v>
      </c>
      <c r="J119">
        <v>185876</v>
      </c>
      <c r="K119" s="109" t="e">
        <v>#N/A</v>
      </c>
    </row>
    <row r="120" spans="9:11" x14ac:dyDescent="0.35">
      <c r="I120" t="s">
        <v>291</v>
      </c>
      <c r="J120">
        <v>66248</v>
      </c>
      <c r="K120" s="109">
        <v>18400</v>
      </c>
    </row>
    <row r="121" spans="9:11" x14ac:dyDescent="0.35">
      <c r="I121" t="s">
        <v>292</v>
      </c>
      <c r="J121">
        <v>64568</v>
      </c>
      <c r="K121" s="109">
        <v>11400</v>
      </c>
    </row>
    <row r="122" spans="9:11" x14ac:dyDescent="0.35">
      <c r="I122" t="s">
        <v>293</v>
      </c>
      <c r="J122">
        <v>66283</v>
      </c>
      <c r="K122" s="109">
        <v>11400</v>
      </c>
    </row>
    <row r="123" spans="9:11" x14ac:dyDescent="0.35">
      <c r="I123" t="s">
        <v>294</v>
      </c>
      <c r="J123">
        <v>62582</v>
      </c>
      <c r="K123" s="109">
        <v>18400</v>
      </c>
    </row>
    <row r="124" spans="9:11" x14ac:dyDescent="0.35">
      <c r="I124" t="s">
        <v>295</v>
      </c>
      <c r="J124">
        <v>65927</v>
      </c>
      <c r="K124" s="109">
        <v>16400</v>
      </c>
    </row>
    <row r="125" spans="9:11" x14ac:dyDescent="0.35">
      <c r="I125" t="s">
        <v>296</v>
      </c>
      <c r="J125">
        <v>186142</v>
      </c>
      <c r="K125" s="109">
        <v>12400</v>
      </c>
    </row>
    <row r="126" spans="9:11" x14ac:dyDescent="0.35">
      <c r="I126" t="s">
        <v>297</v>
      </c>
      <c r="J126">
        <v>185318</v>
      </c>
      <c r="K126" s="109">
        <v>19400</v>
      </c>
    </row>
    <row r="127" spans="9:11" x14ac:dyDescent="0.35">
      <c r="I127" t="s">
        <v>298</v>
      </c>
      <c r="J127">
        <v>66341</v>
      </c>
      <c r="K127" s="109">
        <v>13400</v>
      </c>
    </row>
    <row r="128" spans="9:11" x14ac:dyDescent="0.35">
      <c r="I128" t="s">
        <v>299</v>
      </c>
      <c r="J128">
        <v>185320</v>
      </c>
      <c r="K128" s="109">
        <v>11400</v>
      </c>
    </row>
    <row r="129" spans="9:11" x14ac:dyDescent="0.35">
      <c r="I129" t="s">
        <v>300</v>
      </c>
      <c r="J129">
        <v>66363</v>
      </c>
      <c r="K129" s="109">
        <v>12400</v>
      </c>
    </row>
    <row r="130" spans="9:11" x14ac:dyDescent="0.35">
      <c r="I130" t="s">
        <v>301</v>
      </c>
      <c r="J130">
        <v>185331</v>
      </c>
      <c r="K130" s="109">
        <v>16400</v>
      </c>
    </row>
    <row r="131" spans="9:11" x14ac:dyDescent="0.35">
      <c r="I131" t="s">
        <v>302</v>
      </c>
      <c r="J131">
        <v>66385</v>
      </c>
      <c r="K131" s="109">
        <v>19400</v>
      </c>
    </row>
    <row r="132" spans="9:11" x14ac:dyDescent="0.35">
      <c r="I132" t="s">
        <v>303</v>
      </c>
      <c r="J132">
        <v>60787</v>
      </c>
      <c r="K132" s="109">
        <v>12400</v>
      </c>
    </row>
    <row r="133" spans="9:11" x14ac:dyDescent="0.35">
      <c r="I133" t="s">
        <v>304</v>
      </c>
      <c r="J133">
        <v>60801</v>
      </c>
      <c r="K133" s="109">
        <v>16400</v>
      </c>
    </row>
    <row r="134" spans="9:11" x14ac:dyDescent="0.35">
      <c r="I134" t="s">
        <v>305</v>
      </c>
      <c r="J134">
        <v>186517</v>
      </c>
      <c r="K134" s="109">
        <v>11400</v>
      </c>
    </row>
    <row r="135" spans="9:11" x14ac:dyDescent="0.35">
      <c r="I135" t="s">
        <v>306</v>
      </c>
      <c r="J135">
        <v>185342</v>
      </c>
      <c r="K135" s="109">
        <v>11400</v>
      </c>
    </row>
    <row r="136" spans="9:11" x14ac:dyDescent="0.35">
      <c r="I136" t="s">
        <v>307</v>
      </c>
      <c r="J136">
        <v>186927</v>
      </c>
      <c r="K136" s="109">
        <v>12400</v>
      </c>
    </row>
    <row r="137" spans="9:11" x14ac:dyDescent="0.35">
      <c r="I137" t="s">
        <v>308</v>
      </c>
      <c r="J137">
        <v>179820</v>
      </c>
      <c r="K137" s="109">
        <v>11400</v>
      </c>
    </row>
    <row r="138" spans="9:11" x14ac:dyDescent="0.35">
      <c r="I138" t="s">
        <v>309</v>
      </c>
      <c r="J138">
        <v>185364</v>
      </c>
      <c r="K138" s="109">
        <v>13400</v>
      </c>
    </row>
    <row r="139" spans="9:11" x14ac:dyDescent="0.35">
      <c r="I139" t="s">
        <v>310</v>
      </c>
      <c r="J139">
        <v>60721</v>
      </c>
      <c r="K139" s="109">
        <v>18400</v>
      </c>
    </row>
    <row r="140" spans="9:11" x14ac:dyDescent="0.35">
      <c r="I140" t="s">
        <v>311</v>
      </c>
      <c r="J140">
        <v>62638</v>
      </c>
      <c r="K140" s="109">
        <v>18400</v>
      </c>
    </row>
    <row r="141" spans="9:11" x14ac:dyDescent="0.35">
      <c r="I141" t="s">
        <v>312</v>
      </c>
      <c r="J141">
        <v>62627</v>
      </c>
      <c r="K141" s="109">
        <v>14400</v>
      </c>
    </row>
    <row r="142" spans="9:11" x14ac:dyDescent="0.35">
      <c r="I142" t="s">
        <v>313</v>
      </c>
      <c r="J142">
        <v>67436</v>
      </c>
      <c r="K142" s="109">
        <v>11400</v>
      </c>
    </row>
    <row r="143" spans="9:11" x14ac:dyDescent="0.35">
      <c r="I143" t="s">
        <v>314</v>
      </c>
      <c r="J143">
        <v>186938</v>
      </c>
      <c r="K143" s="109">
        <v>13400</v>
      </c>
    </row>
    <row r="144" spans="9:11" x14ac:dyDescent="0.35">
      <c r="I144" t="s">
        <v>315</v>
      </c>
      <c r="J144">
        <v>64581</v>
      </c>
      <c r="K144" s="109">
        <v>11400</v>
      </c>
    </row>
    <row r="145" spans="9:11" x14ac:dyDescent="0.35">
      <c r="I145" t="s">
        <v>316</v>
      </c>
      <c r="J145">
        <v>187408</v>
      </c>
      <c r="K145" s="109">
        <v>11400</v>
      </c>
    </row>
    <row r="146" spans="9:11" x14ac:dyDescent="0.35">
      <c r="I146" t="s">
        <v>317</v>
      </c>
      <c r="J146">
        <v>179864</v>
      </c>
      <c r="K146" s="109">
        <v>11400</v>
      </c>
    </row>
    <row r="147" spans="9:11" x14ac:dyDescent="0.35">
      <c r="I147" t="s">
        <v>318</v>
      </c>
      <c r="J147">
        <v>62285</v>
      </c>
      <c r="K147" s="109">
        <v>14400</v>
      </c>
    </row>
    <row r="148" spans="9:11" x14ac:dyDescent="0.35">
      <c r="I148" t="s">
        <v>319</v>
      </c>
      <c r="J148">
        <v>60845</v>
      </c>
      <c r="K148" s="109">
        <v>11400</v>
      </c>
    </row>
    <row r="149" spans="9:11" x14ac:dyDescent="0.35">
      <c r="I149" t="s">
        <v>320</v>
      </c>
      <c r="J149">
        <v>65450</v>
      </c>
      <c r="K149" s="109">
        <v>16400</v>
      </c>
    </row>
    <row r="150" spans="9:11" x14ac:dyDescent="0.35">
      <c r="I150" t="s">
        <v>321</v>
      </c>
      <c r="J150">
        <v>66421</v>
      </c>
      <c r="K150" s="109">
        <v>13400</v>
      </c>
    </row>
    <row r="151" spans="9:11" x14ac:dyDescent="0.35">
      <c r="I151" t="s">
        <v>322</v>
      </c>
      <c r="J151">
        <v>185386</v>
      </c>
      <c r="K151" s="109">
        <v>12400</v>
      </c>
    </row>
    <row r="152" spans="9:11" x14ac:dyDescent="0.35">
      <c r="I152" t="s">
        <v>323</v>
      </c>
      <c r="J152">
        <v>185397</v>
      </c>
      <c r="K152" s="109">
        <v>18400</v>
      </c>
    </row>
    <row r="153" spans="9:11" x14ac:dyDescent="0.35">
      <c r="I153" t="s">
        <v>324</v>
      </c>
      <c r="J153">
        <v>66443</v>
      </c>
      <c r="K153" s="109">
        <v>19400</v>
      </c>
    </row>
    <row r="154" spans="9:11" x14ac:dyDescent="0.35">
      <c r="I154" t="s">
        <v>325</v>
      </c>
      <c r="J154">
        <v>60105</v>
      </c>
      <c r="K154" s="109">
        <v>14400</v>
      </c>
    </row>
    <row r="155" spans="9:11" x14ac:dyDescent="0.35">
      <c r="I155" t="s">
        <v>326</v>
      </c>
      <c r="J155">
        <v>185400</v>
      </c>
      <c r="K155" s="109">
        <v>14400</v>
      </c>
    </row>
    <row r="156" spans="9:11" x14ac:dyDescent="0.35">
      <c r="I156" t="s">
        <v>327</v>
      </c>
      <c r="J156">
        <v>185411</v>
      </c>
      <c r="K156" s="109">
        <v>11400</v>
      </c>
    </row>
    <row r="157" spans="9:11" x14ac:dyDescent="0.35">
      <c r="I157" t="s">
        <v>328</v>
      </c>
      <c r="J157">
        <v>66501</v>
      </c>
      <c r="K157" s="109">
        <v>11400</v>
      </c>
    </row>
    <row r="158" spans="9:11" x14ac:dyDescent="0.35">
      <c r="I158" t="s">
        <v>329</v>
      </c>
      <c r="J158">
        <v>64604</v>
      </c>
      <c r="K158" s="109">
        <v>14400</v>
      </c>
    </row>
    <row r="159" spans="9:11" x14ac:dyDescent="0.35">
      <c r="I159" t="s">
        <v>330</v>
      </c>
      <c r="J159">
        <v>171141</v>
      </c>
      <c r="K159" s="109">
        <v>11400</v>
      </c>
    </row>
    <row r="160" spans="9:11" x14ac:dyDescent="0.35">
      <c r="I160" t="s">
        <v>331</v>
      </c>
      <c r="J160">
        <v>60867</v>
      </c>
      <c r="K160" s="109">
        <v>18400</v>
      </c>
    </row>
    <row r="161" spans="9:11" x14ac:dyDescent="0.35">
      <c r="I161" t="s">
        <v>332</v>
      </c>
      <c r="J161">
        <v>186472</v>
      </c>
      <c r="K161" s="109">
        <v>18400</v>
      </c>
    </row>
    <row r="162" spans="9:11" x14ac:dyDescent="0.35">
      <c r="I162" t="s">
        <v>333</v>
      </c>
      <c r="J162">
        <v>62640</v>
      </c>
      <c r="K162" s="109">
        <v>16400</v>
      </c>
    </row>
    <row r="163" spans="9:11" x14ac:dyDescent="0.35">
      <c r="I163" t="s">
        <v>334</v>
      </c>
      <c r="J163">
        <v>64626</v>
      </c>
      <c r="K163" s="109">
        <v>11400</v>
      </c>
    </row>
    <row r="164" spans="9:11" x14ac:dyDescent="0.35">
      <c r="I164" t="s">
        <v>335</v>
      </c>
      <c r="J164">
        <v>179636</v>
      </c>
      <c r="K164" s="109">
        <v>11400</v>
      </c>
    </row>
    <row r="165" spans="9:11" x14ac:dyDescent="0.35">
      <c r="I165" t="s">
        <v>336</v>
      </c>
      <c r="J165">
        <v>186951</v>
      </c>
      <c r="K165" s="109">
        <v>11400</v>
      </c>
    </row>
    <row r="166" spans="9:11" x14ac:dyDescent="0.35">
      <c r="I166" t="s">
        <v>337</v>
      </c>
      <c r="J166">
        <v>186962</v>
      </c>
      <c r="K166" s="109">
        <v>18400</v>
      </c>
    </row>
    <row r="167" spans="9:11" x14ac:dyDescent="0.35">
      <c r="I167" t="s">
        <v>338</v>
      </c>
      <c r="J167">
        <v>187011</v>
      </c>
      <c r="K167" s="109">
        <v>13400</v>
      </c>
    </row>
    <row r="168" spans="9:11" x14ac:dyDescent="0.35">
      <c r="I168" t="s">
        <v>339</v>
      </c>
      <c r="J168">
        <v>186995</v>
      </c>
      <c r="K168" s="109">
        <v>12400</v>
      </c>
    </row>
    <row r="169" spans="9:11" x14ac:dyDescent="0.35">
      <c r="I169" t="s">
        <v>340</v>
      </c>
      <c r="J169">
        <v>186973</v>
      </c>
      <c r="K169" s="109">
        <v>13400</v>
      </c>
    </row>
    <row r="170" spans="9:11" x14ac:dyDescent="0.35">
      <c r="I170" t="s">
        <v>341</v>
      </c>
      <c r="J170">
        <v>186984</v>
      </c>
      <c r="K170" s="109">
        <v>16400</v>
      </c>
    </row>
    <row r="171" spans="9:11" x14ac:dyDescent="0.35">
      <c r="I171" t="s">
        <v>342</v>
      </c>
      <c r="J171">
        <v>171265</v>
      </c>
      <c r="K171" s="109">
        <v>11400</v>
      </c>
    </row>
    <row r="172" spans="9:11" x14ac:dyDescent="0.35">
      <c r="I172" t="s">
        <v>343</v>
      </c>
      <c r="J172">
        <v>187055</v>
      </c>
      <c r="K172" s="109">
        <v>11400</v>
      </c>
    </row>
    <row r="173" spans="9:11" x14ac:dyDescent="0.35">
      <c r="I173" t="s">
        <v>344</v>
      </c>
      <c r="J173">
        <v>187066</v>
      </c>
      <c r="K173" s="109">
        <v>11400</v>
      </c>
    </row>
    <row r="174" spans="9:11" x14ac:dyDescent="0.35">
      <c r="I174" t="s">
        <v>345</v>
      </c>
      <c r="J174">
        <v>66545</v>
      </c>
      <c r="K174" s="109">
        <v>12400</v>
      </c>
    </row>
    <row r="175" spans="9:11" x14ac:dyDescent="0.35">
      <c r="I175" t="s">
        <v>346</v>
      </c>
      <c r="J175">
        <v>66567</v>
      </c>
      <c r="K175" s="109">
        <v>15400</v>
      </c>
    </row>
    <row r="176" spans="9:11" x14ac:dyDescent="0.35">
      <c r="I176" t="s">
        <v>347</v>
      </c>
      <c r="J176">
        <v>60925</v>
      </c>
      <c r="K176" s="109">
        <v>16400</v>
      </c>
    </row>
    <row r="177" spans="9:11" x14ac:dyDescent="0.35">
      <c r="I177" t="s">
        <v>348</v>
      </c>
      <c r="J177">
        <v>185785</v>
      </c>
      <c r="K177" s="109">
        <v>11400</v>
      </c>
    </row>
    <row r="178" spans="9:11" x14ac:dyDescent="0.35">
      <c r="I178" t="s">
        <v>349</v>
      </c>
      <c r="J178">
        <v>186528</v>
      </c>
      <c r="K178" s="109">
        <v>14400</v>
      </c>
    </row>
    <row r="179" spans="9:11" x14ac:dyDescent="0.35">
      <c r="I179" t="s">
        <v>350</v>
      </c>
      <c r="J179">
        <v>64648</v>
      </c>
      <c r="K179" s="109">
        <v>16400</v>
      </c>
    </row>
    <row r="180" spans="9:11" x14ac:dyDescent="0.35">
      <c r="I180" t="s">
        <v>351</v>
      </c>
      <c r="J180">
        <v>185455</v>
      </c>
      <c r="K180" s="109">
        <v>16400</v>
      </c>
    </row>
    <row r="181" spans="9:11" x14ac:dyDescent="0.35">
      <c r="I181" t="s">
        <v>352</v>
      </c>
      <c r="J181">
        <v>64661</v>
      </c>
      <c r="K181" s="109">
        <v>12400</v>
      </c>
    </row>
    <row r="182" spans="9:11" x14ac:dyDescent="0.35">
      <c r="I182" t="s">
        <v>353</v>
      </c>
      <c r="J182">
        <v>185466</v>
      </c>
      <c r="K182" s="109">
        <v>17400</v>
      </c>
    </row>
    <row r="183" spans="9:11" x14ac:dyDescent="0.35">
      <c r="I183" t="s">
        <v>354</v>
      </c>
      <c r="J183">
        <v>62662</v>
      </c>
      <c r="K183" s="109">
        <v>11400</v>
      </c>
    </row>
    <row r="184" spans="9:11" x14ac:dyDescent="0.35">
      <c r="I184" t="s">
        <v>355</v>
      </c>
      <c r="J184">
        <v>62684</v>
      </c>
      <c r="K184" s="109">
        <v>11400</v>
      </c>
    </row>
    <row r="185" spans="9:11" x14ac:dyDescent="0.35">
      <c r="I185" t="s">
        <v>356</v>
      </c>
      <c r="J185">
        <v>185353</v>
      </c>
      <c r="K185" s="109">
        <v>14400</v>
      </c>
    </row>
    <row r="186" spans="9:11" x14ac:dyDescent="0.35">
      <c r="I186" t="s">
        <v>357</v>
      </c>
      <c r="J186">
        <v>185752</v>
      </c>
      <c r="K186" s="109">
        <v>17400</v>
      </c>
    </row>
    <row r="187" spans="9:11" x14ac:dyDescent="0.35">
      <c r="I187" t="s">
        <v>358</v>
      </c>
      <c r="J187">
        <v>185477</v>
      </c>
      <c r="K187" s="109">
        <v>16400</v>
      </c>
    </row>
    <row r="188" spans="9:11" x14ac:dyDescent="0.35">
      <c r="I188" t="s">
        <v>359</v>
      </c>
      <c r="J188">
        <v>64728</v>
      </c>
      <c r="K188" s="109">
        <v>11400</v>
      </c>
    </row>
    <row r="189" spans="9:11" x14ac:dyDescent="0.35">
      <c r="I189" t="s">
        <v>360</v>
      </c>
      <c r="J189">
        <v>64763</v>
      </c>
      <c r="K189" s="109">
        <v>13400</v>
      </c>
    </row>
    <row r="190" spans="9:11" x14ac:dyDescent="0.35">
      <c r="I190" t="s">
        <v>361</v>
      </c>
      <c r="J190">
        <v>64785</v>
      </c>
      <c r="K190" s="109">
        <v>11400</v>
      </c>
    </row>
    <row r="191" spans="9:11" x14ac:dyDescent="0.35">
      <c r="I191" t="s">
        <v>362</v>
      </c>
      <c r="J191">
        <v>61851</v>
      </c>
      <c r="K191" s="109">
        <v>11400</v>
      </c>
    </row>
    <row r="192" spans="9:11" x14ac:dyDescent="0.35">
      <c r="I192" t="s">
        <v>363</v>
      </c>
      <c r="J192">
        <v>64808</v>
      </c>
      <c r="K192" s="109">
        <v>15400</v>
      </c>
    </row>
    <row r="193" spans="9:11" x14ac:dyDescent="0.35">
      <c r="I193" t="s">
        <v>364</v>
      </c>
      <c r="J193">
        <v>63564</v>
      </c>
      <c r="K193" s="109">
        <v>16400</v>
      </c>
    </row>
    <row r="194" spans="9:11" x14ac:dyDescent="0.35">
      <c r="I194" t="s">
        <v>365</v>
      </c>
      <c r="J194">
        <v>64160</v>
      </c>
      <c r="K194" s="109">
        <v>11400</v>
      </c>
    </row>
    <row r="195" spans="9:11" x14ac:dyDescent="0.35">
      <c r="I195" t="s">
        <v>366</v>
      </c>
      <c r="J195">
        <v>180293</v>
      </c>
      <c r="K195" s="109">
        <v>11400</v>
      </c>
    </row>
    <row r="196" spans="9:11" x14ac:dyDescent="0.35">
      <c r="I196" t="s">
        <v>367</v>
      </c>
      <c r="J196">
        <v>185502</v>
      </c>
      <c r="K196" s="109">
        <v>18400</v>
      </c>
    </row>
    <row r="197" spans="9:11" x14ac:dyDescent="0.35">
      <c r="I197" t="s">
        <v>368</v>
      </c>
      <c r="J197">
        <v>187135</v>
      </c>
      <c r="K197" s="109">
        <v>11400</v>
      </c>
    </row>
    <row r="198" spans="9:11" x14ac:dyDescent="0.35">
      <c r="I198" t="s">
        <v>369</v>
      </c>
      <c r="J198">
        <v>185513</v>
      </c>
      <c r="K198" s="109">
        <v>16400</v>
      </c>
    </row>
    <row r="199" spans="9:11" x14ac:dyDescent="0.35">
      <c r="I199" t="s">
        <v>370</v>
      </c>
      <c r="J199">
        <v>186222</v>
      </c>
      <c r="K199" s="109">
        <v>12400</v>
      </c>
    </row>
    <row r="200" spans="9:11" x14ac:dyDescent="0.35">
      <c r="I200" t="s">
        <v>371</v>
      </c>
      <c r="J200">
        <v>62720</v>
      </c>
      <c r="K200" s="109">
        <v>13400</v>
      </c>
    </row>
    <row r="201" spans="9:11" x14ac:dyDescent="0.35">
      <c r="I201" t="s">
        <v>372</v>
      </c>
      <c r="J201">
        <v>186062</v>
      </c>
      <c r="K201" s="109">
        <v>14400</v>
      </c>
    </row>
    <row r="202" spans="9:11" x14ac:dyDescent="0.35">
      <c r="I202" t="s">
        <v>373</v>
      </c>
      <c r="J202">
        <v>60982</v>
      </c>
      <c r="K202" s="109">
        <v>16400</v>
      </c>
    </row>
    <row r="203" spans="9:11" x14ac:dyDescent="0.35">
      <c r="I203" t="s">
        <v>374</v>
      </c>
      <c r="J203">
        <v>180065</v>
      </c>
      <c r="K203" s="109">
        <v>11400</v>
      </c>
    </row>
    <row r="204" spans="9:11" x14ac:dyDescent="0.35">
      <c r="I204" t="s">
        <v>375</v>
      </c>
      <c r="J204">
        <v>187181</v>
      </c>
      <c r="K204" s="109">
        <v>14400</v>
      </c>
    </row>
    <row r="205" spans="9:11" x14ac:dyDescent="0.35">
      <c r="I205" t="s">
        <v>376</v>
      </c>
      <c r="J205">
        <v>64843</v>
      </c>
      <c r="K205" s="109">
        <v>18400</v>
      </c>
    </row>
    <row r="206" spans="9:11" x14ac:dyDescent="0.35">
      <c r="I206" t="s">
        <v>377</v>
      </c>
      <c r="J206">
        <v>66740</v>
      </c>
      <c r="K206" s="109">
        <v>14400</v>
      </c>
    </row>
    <row r="207" spans="9:11" x14ac:dyDescent="0.35">
      <c r="I207" t="s">
        <v>378</v>
      </c>
      <c r="J207">
        <v>185524</v>
      </c>
      <c r="K207" s="109">
        <v>16400</v>
      </c>
    </row>
    <row r="208" spans="9:11" x14ac:dyDescent="0.35">
      <c r="I208" t="s">
        <v>379</v>
      </c>
      <c r="J208">
        <v>185535</v>
      </c>
      <c r="K208" s="109">
        <v>17400</v>
      </c>
    </row>
    <row r="209" spans="9:11" x14ac:dyDescent="0.35">
      <c r="I209" t="s">
        <v>380</v>
      </c>
      <c r="J209">
        <v>65073</v>
      </c>
      <c r="K209" s="109">
        <v>14400</v>
      </c>
    </row>
    <row r="210" spans="9:11" x14ac:dyDescent="0.35">
      <c r="I210" t="s">
        <v>381</v>
      </c>
      <c r="J210">
        <v>61007</v>
      </c>
      <c r="K210" s="109">
        <v>14400</v>
      </c>
    </row>
    <row r="211" spans="9:11" x14ac:dyDescent="0.35">
      <c r="I211" t="s">
        <v>382</v>
      </c>
      <c r="J211">
        <v>185546</v>
      </c>
      <c r="K211" s="109">
        <v>15400</v>
      </c>
    </row>
    <row r="212" spans="9:11" x14ac:dyDescent="0.35">
      <c r="I212" t="s">
        <v>383</v>
      </c>
      <c r="J212">
        <v>61020</v>
      </c>
      <c r="K212" s="109">
        <v>15400</v>
      </c>
    </row>
    <row r="213" spans="9:11" x14ac:dyDescent="0.35">
      <c r="I213" t="s">
        <v>384</v>
      </c>
      <c r="J213">
        <v>187192</v>
      </c>
      <c r="K213" s="109">
        <v>18400</v>
      </c>
    </row>
    <row r="214" spans="9:11" x14ac:dyDescent="0.35">
      <c r="I214" t="s">
        <v>385</v>
      </c>
      <c r="J214">
        <v>66784</v>
      </c>
      <c r="K214" s="109">
        <v>11400</v>
      </c>
    </row>
    <row r="215" spans="9:11" x14ac:dyDescent="0.35">
      <c r="I215" t="s">
        <v>386</v>
      </c>
      <c r="J215">
        <v>185661</v>
      </c>
      <c r="K215" s="109">
        <v>13400</v>
      </c>
    </row>
    <row r="216" spans="9:11" x14ac:dyDescent="0.35">
      <c r="I216" t="s">
        <v>387</v>
      </c>
      <c r="J216">
        <v>185557</v>
      </c>
      <c r="K216" s="109">
        <v>13400</v>
      </c>
    </row>
    <row r="217" spans="9:11" x14ac:dyDescent="0.35">
      <c r="I217" t="s">
        <v>388</v>
      </c>
      <c r="J217">
        <v>60537</v>
      </c>
      <c r="K217" s="109">
        <v>11400</v>
      </c>
    </row>
    <row r="218" spans="9:11" x14ac:dyDescent="0.35">
      <c r="I218" t="s">
        <v>389</v>
      </c>
      <c r="J218">
        <v>61042</v>
      </c>
      <c r="K218" s="109">
        <v>11400</v>
      </c>
    </row>
    <row r="219" spans="9:11" x14ac:dyDescent="0.35">
      <c r="I219" t="s">
        <v>390</v>
      </c>
      <c r="J219">
        <v>62354</v>
      </c>
      <c r="K219" s="109">
        <v>14400</v>
      </c>
    </row>
    <row r="220" spans="9:11" x14ac:dyDescent="0.35">
      <c r="I220" t="s">
        <v>391</v>
      </c>
      <c r="J220">
        <v>66820</v>
      </c>
      <c r="K220" s="109">
        <v>13400</v>
      </c>
    </row>
    <row r="221" spans="9:11" x14ac:dyDescent="0.35">
      <c r="I221" t="s">
        <v>392</v>
      </c>
      <c r="J221">
        <v>185683</v>
      </c>
      <c r="K221" s="109">
        <v>11400</v>
      </c>
    </row>
    <row r="222" spans="9:11" x14ac:dyDescent="0.35">
      <c r="I222" t="s">
        <v>393</v>
      </c>
      <c r="J222">
        <v>64901</v>
      </c>
      <c r="K222" s="109">
        <v>11400</v>
      </c>
    </row>
    <row r="223" spans="9:11" x14ac:dyDescent="0.35">
      <c r="I223" t="s">
        <v>394</v>
      </c>
      <c r="J223">
        <v>185796</v>
      </c>
      <c r="K223" s="109">
        <v>11400</v>
      </c>
    </row>
    <row r="224" spans="9:11" x14ac:dyDescent="0.35">
      <c r="I224" t="s">
        <v>395</v>
      </c>
      <c r="J224">
        <v>185592</v>
      </c>
      <c r="K224" s="109">
        <v>11400</v>
      </c>
    </row>
    <row r="225" spans="9:11" x14ac:dyDescent="0.35">
      <c r="I225" t="s">
        <v>395</v>
      </c>
      <c r="J225">
        <v>61086</v>
      </c>
      <c r="K225" s="109">
        <v>16400</v>
      </c>
    </row>
    <row r="226" spans="9:11" x14ac:dyDescent="0.35">
      <c r="I226" t="s">
        <v>396</v>
      </c>
      <c r="J226">
        <v>62800</v>
      </c>
      <c r="K226" s="109">
        <v>13400</v>
      </c>
    </row>
    <row r="227" spans="9:11" x14ac:dyDescent="0.35">
      <c r="I227" t="s">
        <v>397</v>
      </c>
      <c r="J227">
        <v>60151</v>
      </c>
      <c r="K227" s="109">
        <v>13400</v>
      </c>
    </row>
    <row r="228" spans="9:11" x14ac:dyDescent="0.35">
      <c r="I228" t="s">
        <v>398</v>
      </c>
      <c r="J228">
        <v>62822</v>
      </c>
      <c r="K228" s="109">
        <v>17400</v>
      </c>
    </row>
    <row r="229" spans="9:11" x14ac:dyDescent="0.35">
      <c r="I229" t="s">
        <v>399</v>
      </c>
      <c r="J229">
        <v>61634</v>
      </c>
      <c r="K229" s="109">
        <v>15400</v>
      </c>
    </row>
    <row r="230" spans="9:11" x14ac:dyDescent="0.35">
      <c r="I230" t="s">
        <v>400</v>
      </c>
      <c r="J230">
        <v>64923</v>
      </c>
      <c r="K230" s="109">
        <v>15400</v>
      </c>
    </row>
    <row r="231" spans="9:11" x14ac:dyDescent="0.35">
      <c r="I231" t="s">
        <v>401</v>
      </c>
      <c r="J231">
        <v>183924</v>
      </c>
      <c r="K231" s="109">
        <v>11400</v>
      </c>
    </row>
    <row r="232" spans="9:11" x14ac:dyDescent="0.35">
      <c r="I232" t="s">
        <v>402</v>
      </c>
      <c r="J232">
        <v>179614</v>
      </c>
      <c r="K232" s="109">
        <v>11400</v>
      </c>
    </row>
    <row r="233" spans="9:11" x14ac:dyDescent="0.35">
      <c r="I233" t="s">
        <v>403</v>
      </c>
      <c r="J233">
        <v>171323</v>
      </c>
      <c r="K233" s="109">
        <v>17400</v>
      </c>
    </row>
    <row r="234" spans="9:11" x14ac:dyDescent="0.35">
      <c r="I234" t="s">
        <v>404</v>
      </c>
      <c r="J234">
        <v>185568</v>
      </c>
      <c r="K234" s="109">
        <v>11400</v>
      </c>
    </row>
    <row r="235" spans="9:11" x14ac:dyDescent="0.35">
      <c r="I235" t="s">
        <v>405</v>
      </c>
      <c r="J235">
        <v>185604</v>
      </c>
      <c r="K235" s="109">
        <v>14400</v>
      </c>
    </row>
    <row r="236" spans="9:11" x14ac:dyDescent="0.35">
      <c r="I236" t="s">
        <v>406</v>
      </c>
      <c r="J236">
        <v>64945</v>
      </c>
      <c r="K236" s="109">
        <v>15400</v>
      </c>
    </row>
    <row r="237" spans="9:11" x14ac:dyDescent="0.35">
      <c r="I237" t="s">
        <v>407</v>
      </c>
      <c r="J237">
        <v>186255</v>
      </c>
      <c r="K237" s="109">
        <v>11400</v>
      </c>
    </row>
    <row r="238" spans="9:11" x14ac:dyDescent="0.35">
      <c r="I238" t="s">
        <v>408</v>
      </c>
      <c r="J238">
        <v>187250</v>
      </c>
      <c r="K238" s="109">
        <v>12400</v>
      </c>
    </row>
    <row r="239" spans="9:11" x14ac:dyDescent="0.35">
      <c r="I239" t="s">
        <v>409</v>
      </c>
      <c r="J239">
        <v>187261</v>
      </c>
      <c r="K239" s="109">
        <v>16400</v>
      </c>
    </row>
    <row r="240" spans="9:11" x14ac:dyDescent="0.35">
      <c r="I240" t="s">
        <v>410</v>
      </c>
      <c r="J240">
        <v>187272</v>
      </c>
      <c r="K240" s="109">
        <v>17400</v>
      </c>
    </row>
    <row r="241" spans="9:11" x14ac:dyDescent="0.35">
      <c r="I241" t="s">
        <v>411</v>
      </c>
      <c r="J241">
        <v>66842</v>
      </c>
      <c r="K241" s="109">
        <v>16400</v>
      </c>
    </row>
    <row r="242" spans="9:11" x14ac:dyDescent="0.35">
      <c r="I242" t="s">
        <v>412</v>
      </c>
      <c r="J242">
        <v>185637</v>
      </c>
      <c r="K242" s="109">
        <v>11400</v>
      </c>
    </row>
    <row r="243" spans="9:11" x14ac:dyDescent="0.35">
      <c r="I243" t="s">
        <v>413</v>
      </c>
      <c r="J243">
        <v>185626</v>
      </c>
      <c r="K243" s="109">
        <v>13400</v>
      </c>
    </row>
    <row r="244" spans="9:11" x14ac:dyDescent="0.35">
      <c r="I244" t="s">
        <v>414</v>
      </c>
      <c r="J244">
        <v>66864</v>
      </c>
      <c r="K244" s="109">
        <v>14400</v>
      </c>
    </row>
    <row r="245" spans="9:11" x14ac:dyDescent="0.35">
      <c r="I245" t="s">
        <v>415</v>
      </c>
      <c r="J245">
        <v>64535</v>
      </c>
      <c r="K245" s="109">
        <v>11400</v>
      </c>
    </row>
    <row r="246" spans="9:11" x14ac:dyDescent="0.35">
      <c r="I246" t="s">
        <v>416</v>
      </c>
      <c r="J246">
        <v>61122</v>
      </c>
      <c r="K246" s="109">
        <v>15400</v>
      </c>
    </row>
    <row r="247" spans="9:11" x14ac:dyDescent="0.35">
      <c r="I247" t="s">
        <v>417</v>
      </c>
      <c r="J247">
        <v>61144</v>
      </c>
      <c r="K247" s="109">
        <v>11400</v>
      </c>
    </row>
    <row r="248" spans="9:11" x14ac:dyDescent="0.35">
      <c r="I248" t="s">
        <v>418</v>
      </c>
      <c r="J248">
        <v>64980</v>
      </c>
      <c r="K248" s="109">
        <v>11400</v>
      </c>
    </row>
    <row r="249" spans="9:11" x14ac:dyDescent="0.35">
      <c r="I249" t="s">
        <v>419</v>
      </c>
      <c r="J249">
        <v>61166</v>
      </c>
      <c r="K249" s="109">
        <v>11400</v>
      </c>
    </row>
    <row r="250" spans="9:11" x14ac:dyDescent="0.35">
      <c r="I250" t="s">
        <v>420</v>
      </c>
      <c r="J250">
        <v>61111</v>
      </c>
      <c r="K250" s="109">
        <v>12400</v>
      </c>
    </row>
    <row r="251" spans="9:11" x14ac:dyDescent="0.35">
      <c r="I251" t="s">
        <v>421</v>
      </c>
      <c r="J251">
        <v>61202</v>
      </c>
      <c r="K251" s="109">
        <v>11400</v>
      </c>
    </row>
    <row r="252" spans="9:11" x14ac:dyDescent="0.35">
      <c r="I252" t="s">
        <v>422</v>
      </c>
      <c r="J252">
        <v>962753</v>
      </c>
      <c r="K252" s="109">
        <v>14400</v>
      </c>
    </row>
    <row r="253" spans="9:11" x14ac:dyDescent="0.35">
      <c r="I253" t="s">
        <v>423</v>
      </c>
      <c r="J253">
        <v>62866</v>
      </c>
      <c r="K253" s="109">
        <v>13400</v>
      </c>
    </row>
    <row r="254" spans="9:11" x14ac:dyDescent="0.35">
      <c r="I254" t="s">
        <v>424</v>
      </c>
      <c r="J254">
        <v>61235</v>
      </c>
      <c r="K254" s="109">
        <v>13400</v>
      </c>
    </row>
    <row r="255" spans="9:11" x14ac:dyDescent="0.35">
      <c r="I255" t="s">
        <v>425</v>
      </c>
      <c r="J255">
        <v>61246</v>
      </c>
      <c r="K255" s="109">
        <v>11400</v>
      </c>
    </row>
    <row r="256" spans="9:11" x14ac:dyDescent="0.35">
      <c r="I256" t="s">
        <v>426</v>
      </c>
      <c r="J256">
        <v>65027</v>
      </c>
      <c r="K256" s="109">
        <v>11400</v>
      </c>
    </row>
    <row r="257" spans="9:11" x14ac:dyDescent="0.35">
      <c r="I257" t="s">
        <v>427</v>
      </c>
      <c r="J257">
        <v>66944</v>
      </c>
      <c r="K257" s="109">
        <v>12400</v>
      </c>
    </row>
    <row r="258" spans="9:11" x14ac:dyDescent="0.35">
      <c r="I258" t="s">
        <v>428</v>
      </c>
      <c r="J258">
        <v>65038</v>
      </c>
      <c r="K258" s="109">
        <v>13400</v>
      </c>
    </row>
    <row r="259" spans="9:11" x14ac:dyDescent="0.35">
      <c r="I259" t="s">
        <v>429</v>
      </c>
      <c r="J259">
        <v>63154</v>
      </c>
      <c r="K259" s="109">
        <v>11400</v>
      </c>
    </row>
    <row r="260" spans="9:11" x14ac:dyDescent="0.35">
      <c r="I260" t="s">
        <v>430</v>
      </c>
      <c r="J260">
        <v>962775</v>
      </c>
      <c r="K260" s="109">
        <v>11400</v>
      </c>
    </row>
    <row r="261" spans="9:11" x14ac:dyDescent="0.35">
      <c r="I261" t="s">
        <v>431</v>
      </c>
      <c r="J261">
        <v>186335</v>
      </c>
      <c r="K261" s="109">
        <v>12400</v>
      </c>
    </row>
    <row r="262" spans="9:11" x14ac:dyDescent="0.35">
      <c r="I262" t="s">
        <v>432</v>
      </c>
      <c r="J262">
        <v>61304</v>
      </c>
      <c r="K262" s="109">
        <v>13400</v>
      </c>
    </row>
    <row r="263" spans="9:11" x14ac:dyDescent="0.35">
      <c r="I263" t="s">
        <v>433</v>
      </c>
      <c r="J263">
        <v>62981</v>
      </c>
      <c r="K263" s="109">
        <v>18400</v>
      </c>
    </row>
    <row r="264" spans="9:11" x14ac:dyDescent="0.35">
      <c r="I264" t="s">
        <v>434</v>
      </c>
      <c r="J264">
        <v>63085</v>
      </c>
      <c r="K264" s="109">
        <v>13400</v>
      </c>
    </row>
    <row r="265" spans="9:11" x14ac:dyDescent="0.35">
      <c r="I265" t="s">
        <v>435</v>
      </c>
      <c r="J265">
        <v>67083</v>
      </c>
      <c r="K265" s="109">
        <v>18400</v>
      </c>
    </row>
    <row r="266" spans="9:11" x14ac:dyDescent="0.35">
      <c r="I266" t="s">
        <v>436</v>
      </c>
      <c r="J266">
        <v>962800</v>
      </c>
      <c r="K266" s="109">
        <v>12400</v>
      </c>
    </row>
    <row r="267" spans="9:11" x14ac:dyDescent="0.35">
      <c r="I267" t="s">
        <v>437</v>
      </c>
      <c r="J267">
        <v>61406</v>
      </c>
      <c r="K267" s="109">
        <v>11400</v>
      </c>
    </row>
    <row r="268" spans="9:11" x14ac:dyDescent="0.35">
      <c r="I268" t="s">
        <v>438</v>
      </c>
      <c r="J268">
        <v>962797</v>
      </c>
      <c r="K268" s="109">
        <v>15400</v>
      </c>
    </row>
    <row r="269" spans="9:11" x14ac:dyDescent="0.35">
      <c r="I269" t="s">
        <v>439</v>
      </c>
      <c r="J269">
        <v>61428</v>
      </c>
      <c r="K269" s="109">
        <v>12400</v>
      </c>
    </row>
    <row r="270" spans="9:11" x14ac:dyDescent="0.35">
      <c r="I270" t="s">
        <v>440</v>
      </c>
      <c r="J270">
        <v>63280</v>
      </c>
      <c r="K270" s="109">
        <v>12400</v>
      </c>
    </row>
    <row r="271" spans="9:11" x14ac:dyDescent="0.35">
      <c r="I271" t="s">
        <v>441</v>
      </c>
      <c r="J271">
        <v>962877</v>
      </c>
      <c r="K271" s="109">
        <v>16400</v>
      </c>
    </row>
    <row r="272" spans="9:11" x14ac:dyDescent="0.35">
      <c r="I272" t="s">
        <v>442</v>
      </c>
      <c r="J272">
        <v>962822</v>
      </c>
      <c r="K272" s="109">
        <v>13400</v>
      </c>
    </row>
    <row r="273" spans="9:11" x14ac:dyDescent="0.35">
      <c r="I273" t="s">
        <v>443</v>
      </c>
      <c r="J273">
        <v>67106</v>
      </c>
      <c r="K273" s="109">
        <v>11400</v>
      </c>
    </row>
    <row r="274" spans="9:11" x14ac:dyDescent="0.35">
      <c r="I274" t="s">
        <v>444</v>
      </c>
      <c r="J274">
        <v>65142</v>
      </c>
      <c r="K274" s="109">
        <v>13400</v>
      </c>
    </row>
    <row r="275" spans="9:11" x14ac:dyDescent="0.35">
      <c r="I275" t="s">
        <v>445</v>
      </c>
      <c r="J275">
        <v>67004</v>
      </c>
      <c r="K275" s="109">
        <v>11400</v>
      </c>
    </row>
    <row r="276" spans="9:11" x14ac:dyDescent="0.35">
      <c r="I276" t="s">
        <v>446</v>
      </c>
      <c r="J276">
        <v>61623</v>
      </c>
      <c r="K276" s="109">
        <v>13400</v>
      </c>
    </row>
    <row r="277" spans="9:11" x14ac:dyDescent="0.35">
      <c r="I277" t="s">
        <v>447</v>
      </c>
      <c r="J277">
        <v>65107</v>
      </c>
      <c r="K277" s="109">
        <v>14400</v>
      </c>
    </row>
    <row r="278" spans="9:11" x14ac:dyDescent="0.35">
      <c r="I278" t="s">
        <v>448</v>
      </c>
      <c r="J278">
        <v>61587</v>
      </c>
      <c r="K278" s="109">
        <v>14400</v>
      </c>
    </row>
    <row r="279" spans="9:11" x14ac:dyDescent="0.35">
      <c r="I279" t="s">
        <v>449</v>
      </c>
      <c r="J279">
        <v>63325</v>
      </c>
      <c r="K279" s="109">
        <v>13400</v>
      </c>
    </row>
    <row r="280" spans="9:11" x14ac:dyDescent="0.35">
      <c r="I280" t="s">
        <v>450</v>
      </c>
      <c r="J280">
        <v>962866</v>
      </c>
      <c r="K280" s="109">
        <v>15400</v>
      </c>
    </row>
    <row r="281" spans="9:11" x14ac:dyDescent="0.35">
      <c r="I281" t="s">
        <v>451</v>
      </c>
      <c r="J281">
        <v>65005</v>
      </c>
      <c r="K281" s="109">
        <v>13400</v>
      </c>
    </row>
    <row r="282" spans="9:11" x14ac:dyDescent="0.35">
      <c r="I282" t="s">
        <v>452</v>
      </c>
      <c r="J282">
        <v>962811</v>
      </c>
      <c r="K282" s="109">
        <v>13400</v>
      </c>
    </row>
    <row r="283" spans="9:11" x14ac:dyDescent="0.35">
      <c r="I283" t="s">
        <v>453</v>
      </c>
      <c r="J283">
        <v>61703</v>
      </c>
      <c r="K283" s="109">
        <v>11400</v>
      </c>
    </row>
    <row r="284" spans="9:11" x14ac:dyDescent="0.35">
      <c r="I284" t="s">
        <v>454</v>
      </c>
      <c r="J284">
        <v>63405</v>
      </c>
      <c r="K284" s="109">
        <v>17400</v>
      </c>
    </row>
    <row r="285" spans="9:11" x14ac:dyDescent="0.35">
      <c r="I285" t="s">
        <v>455</v>
      </c>
      <c r="J285">
        <v>187330</v>
      </c>
      <c r="K285" s="109">
        <v>11400</v>
      </c>
    </row>
    <row r="286" spans="9:11" x14ac:dyDescent="0.35">
      <c r="I286" t="s">
        <v>456</v>
      </c>
      <c r="J286">
        <v>60652</v>
      </c>
      <c r="K286" s="109">
        <v>11400</v>
      </c>
    </row>
    <row r="287" spans="9:11" x14ac:dyDescent="0.35">
      <c r="I287" t="s">
        <v>457</v>
      </c>
      <c r="J287">
        <v>64557</v>
      </c>
      <c r="K287" s="109">
        <v>11400</v>
      </c>
    </row>
    <row r="288" spans="9:11" x14ac:dyDescent="0.35">
      <c r="I288" t="s">
        <v>458</v>
      </c>
      <c r="J288">
        <v>61725</v>
      </c>
      <c r="K288" s="109">
        <v>12400</v>
      </c>
    </row>
    <row r="289" spans="9:11" x14ac:dyDescent="0.35">
      <c r="I289" t="s">
        <v>459</v>
      </c>
      <c r="J289">
        <v>60550</v>
      </c>
      <c r="K289" s="109">
        <v>11400</v>
      </c>
    </row>
    <row r="290" spans="9:11" x14ac:dyDescent="0.35">
      <c r="I290" t="s">
        <v>460</v>
      </c>
      <c r="J290">
        <v>185615</v>
      </c>
      <c r="K290" s="109">
        <v>11400</v>
      </c>
    </row>
    <row r="291" spans="9:11" x14ac:dyDescent="0.35">
      <c r="I291" t="s">
        <v>461</v>
      </c>
      <c r="J291">
        <v>63484</v>
      </c>
      <c r="K291" s="109">
        <v>13400</v>
      </c>
    </row>
    <row r="292" spans="9:11" x14ac:dyDescent="0.35">
      <c r="I292" t="s">
        <v>462</v>
      </c>
      <c r="J292">
        <v>65244</v>
      </c>
      <c r="K292" s="109">
        <v>12400</v>
      </c>
    </row>
    <row r="293" spans="9:11" x14ac:dyDescent="0.35">
      <c r="I293" t="s">
        <v>463</v>
      </c>
      <c r="J293">
        <v>62855</v>
      </c>
      <c r="K293" s="109">
        <v>11400</v>
      </c>
    </row>
    <row r="294" spans="9:11" x14ac:dyDescent="0.35">
      <c r="I294" t="s">
        <v>464</v>
      </c>
      <c r="J294">
        <v>185158</v>
      </c>
      <c r="K294" s="109">
        <v>11400</v>
      </c>
    </row>
    <row r="295" spans="9:11" x14ac:dyDescent="0.35">
      <c r="I295" t="s">
        <v>465</v>
      </c>
      <c r="J295">
        <v>63507</v>
      </c>
      <c r="K295" s="109">
        <v>15400</v>
      </c>
    </row>
    <row r="296" spans="9:11" x14ac:dyDescent="0.35">
      <c r="I296" t="s">
        <v>466</v>
      </c>
      <c r="J296">
        <v>65266</v>
      </c>
      <c r="K296" s="109">
        <v>16400</v>
      </c>
    </row>
    <row r="297" spans="9:11" x14ac:dyDescent="0.35">
      <c r="I297" t="s">
        <v>467</v>
      </c>
      <c r="J297">
        <v>64898</v>
      </c>
      <c r="K297" s="109">
        <v>11400</v>
      </c>
    </row>
    <row r="298" spans="9:11" x14ac:dyDescent="0.35">
      <c r="I298" t="s">
        <v>468</v>
      </c>
      <c r="J298">
        <v>63542</v>
      </c>
      <c r="K298" s="109">
        <v>11400</v>
      </c>
    </row>
    <row r="299" spans="9:11" x14ac:dyDescent="0.35">
      <c r="I299" t="s">
        <v>469</v>
      </c>
      <c r="J299">
        <v>185730</v>
      </c>
      <c r="K299" s="109">
        <v>11400</v>
      </c>
    </row>
    <row r="300" spans="9:11" x14ac:dyDescent="0.35">
      <c r="I300" t="s">
        <v>470</v>
      </c>
      <c r="J300">
        <v>61873</v>
      </c>
      <c r="K300" s="109">
        <v>15400</v>
      </c>
    </row>
    <row r="301" spans="9:11" x14ac:dyDescent="0.35">
      <c r="I301" t="s">
        <v>471</v>
      </c>
      <c r="J301">
        <v>61782</v>
      </c>
      <c r="K301" s="109">
        <v>12400</v>
      </c>
    </row>
    <row r="302" spans="9:11" x14ac:dyDescent="0.35">
      <c r="I302" t="s">
        <v>472</v>
      </c>
      <c r="J302">
        <v>65288</v>
      </c>
      <c r="K302" s="109">
        <v>13400</v>
      </c>
    </row>
    <row r="303" spans="9:11" x14ac:dyDescent="0.35">
      <c r="I303" t="s">
        <v>473</v>
      </c>
      <c r="J303">
        <v>183913</v>
      </c>
      <c r="K303" s="109">
        <v>11400</v>
      </c>
    </row>
    <row r="304" spans="9:11" x14ac:dyDescent="0.35">
      <c r="I304" t="s">
        <v>474</v>
      </c>
      <c r="J304">
        <v>187352</v>
      </c>
      <c r="K304" s="109">
        <v>11400</v>
      </c>
    </row>
    <row r="305" spans="9:11" x14ac:dyDescent="0.35">
      <c r="I305" t="s">
        <v>475</v>
      </c>
      <c r="J305">
        <v>65302</v>
      </c>
      <c r="K305" s="109">
        <v>12400</v>
      </c>
    </row>
    <row r="306" spans="9:11" x14ac:dyDescent="0.35">
      <c r="I306" t="s">
        <v>476</v>
      </c>
      <c r="J306">
        <v>63644</v>
      </c>
      <c r="K306" s="109">
        <v>14400</v>
      </c>
    </row>
    <row r="307" spans="9:11" x14ac:dyDescent="0.35">
      <c r="I307" t="s">
        <v>477</v>
      </c>
      <c r="J307">
        <v>65324</v>
      </c>
      <c r="K307" s="109">
        <v>11400</v>
      </c>
    </row>
    <row r="308" spans="9:11" x14ac:dyDescent="0.35">
      <c r="I308" t="s">
        <v>478</v>
      </c>
      <c r="J308">
        <v>63666</v>
      </c>
      <c r="K308" s="109">
        <v>11400</v>
      </c>
    </row>
    <row r="309" spans="9:11" x14ac:dyDescent="0.35">
      <c r="I309" t="s">
        <v>479</v>
      </c>
      <c r="J309">
        <v>185182</v>
      </c>
      <c r="K309" s="109">
        <v>11400</v>
      </c>
    </row>
    <row r="310" spans="9:11" x14ac:dyDescent="0.35">
      <c r="I310" t="s">
        <v>480</v>
      </c>
      <c r="J310">
        <v>185991</v>
      </c>
      <c r="K310" s="109">
        <v>11400</v>
      </c>
    </row>
    <row r="311" spans="9:11" x14ac:dyDescent="0.35">
      <c r="I311" t="s">
        <v>481</v>
      </c>
      <c r="J311">
        <v>187396</v>
      </c>
      <c r="K311" s="109">
        <v>11400</v>
      </c>
    </row>
    <row r="312" spans="9:11" x14ac:dyDescent="0.35">
      <c r="I312" t="s">
        <v>482</v>
      </c>
      <c r="J312">
        <v>185763</v>
      </c>
      <c r="K312" s="109">
        <v>11400</v>
      </c>
    </row>
    <row r="313" spans="9:11" x14ac:dyDescent="0.35">
      <c r="I313" t="s">
        <v>483</v>
      </c>
      <c r="J313">
        <v>185821</v>
      </c>
      <c r="K313" s="109">
        <v>11400</v>
      </c>
    </row>
    <row r="314" spans="9:11" x14ac:dyDescent="0.35">
      <c r="I314" t="s">
        <v>484</v>
      </c>
      <c r="J314">
        <v>63688</v>
      </c>
      <c r="K314" s="109">
        <v>17400</v>
      </c>
    </row>
    <row r="315" spans="9:11" x14ac:dyDescent="0.35">
      <c r="I315" t="s">
        <v>485</v>
      </c>
      <c r="J315">
        <v>61840</v>
      </c>
      <c r="K315" s="109">
        <v>14400</v>
      </c>
    </row>
    <row r="316" spans="9:11" x14ac:dyDescent="0.35">
      <c r="I316" t="s">
        <v>486</v>
      </c>
      <c r="J316">
        <v>187432</v>
      </c>
      <c r="K316" s="109">
        <v>11400</v>
      </c>
    </row>
    <row r="317" spans="9:11" x14ac:dyDescent="0.35">
      <c r="I317" t="s">
        <v>487</v>
      </c>
      <c r="J317">
        <v>187410</v>
      </c>
      <c r="K317" s="109">
        <v>13400</v>
      </c>
    </row>
    <row r="318" spans="9:11" x14ac:dyDescent="0.35">
      <c r="I318" t="s">
        <v>488</v>
      </c>
      <c r="J318">
        <v>187421</v>
      </c>
      <c r="K318" s="109">
        <v>11400</v>
      </c>
    </row>
    <row r="319" spans="9:11" x14ac:dyDescent="0.35">
      <c r="I319" t="s">
        <v>489</v>
      </c>
      <c r="J319">
        <v>185843</v>
      </c>
      <c r="K319" s="109">
        <v>12400</v>
      </c>
    </row>
    <row r="320" spans="9:11" x14ac:dyDescent="0.35">
      <c r="I320" t="s">
        <v>490</v>
      </c>
      <c r="J320">
        <v>61064</v>
      </c>
      <c r="K320" s="109">
        <v>12400</v>
      </c>
    </row>
    <row r="321" spans="9:11" x14ac:dyDescent="0.35">
      <c r="I321" t="s">
        <v>491</v>
      </c>
      <c r="J321">
        <v>65404</v>
      </c>
      <c r="K321" s="109">
        <v>18400</v>
      </c>
    </row>
    <row r="322" spans="9:11" x14ac:dyDescent="0.35">
      <c r="I322" t="s">
        <v>492</v>
      </c>
      <c r="J322">
        <v>186153</v>
      </c>
      <c r="K322" s="109">
        <v>11400</v>
      </c>
    </row>
    <row r="323" spans="9:11" x14ac:dyDescent="0.35">
      <c r="I323" t="s">
        <v>493</v>
      </c>
      <c r="J323">
        <v>66727</v>
      </c>
      <c r="K323" s="109">
        <v>12400</v>
      </c>
    </row>
    <row r="324" spans="9:11" x14ac:dyDescent="0.35">
      <c r="I324" t="s">
        <v>494</v>
      </c>
      <c r="J324">
        <v>185865</v>
      </c>
      <c r="K324" s="109">
        <v>11400</v>
      </c>
    </row>
    <row r="325" spans="9:11" x14ac:dyDescent="0.35">
      <c r="I325" t="s">
        <v>495</v>
      </c>
      <c r="J325">
        <v>65448</v>
      </c>
      <c r="K325" s="109">
        <v>13400</v>
      </c>
    </row>
    <row r="326" spans="9:11" x14ac:dyDescent="0.35">
      <c r="I326" t="s">
        <v>496</v>
      </c>
      <c r="J326">
        <v>61884</v>
      </c>
      <c r="K326" s="109">
        <v>15400</v>
      </c>
    </row>
    <row r="327" spans="9:11" x14ac:dyDescent="0.35">
      <c r="I327" t="s">
        <v>497</v>
      </c>
      <c r="J327">
        <v>60242</v>
      </c>
      <c r="K327" s="109">
        <v>14400</v>
      </c>
    </row>
    <row r="328" spans="9:11" x14ac:dyDescent="0.35">
      <c r="I328" t="s">
        <v>498</v>
      </c>
      <c r="J328">
        <v>61907</v>
      </c>
      <c r="K328" s="109">
        <v>11400</v>
      </c>
    </row>
    <row r="329" spans="9:11" x14ac:dyDescent="0.35">
      <c r="I329" t="s">
        <v>499</v>
      </c>
      <c r="J329">
        <v>65461</v>
      </c>
      <c r="K329" s="109">
        <v>14400</v>
      </c>
    </row>
    <row r="330" spans="9:11" x14ac:dyDescent="0.35">
      <c r="I330" t="s">
        <v>500</v>
      </c>
      <c r="J330">
        <v>63768</v>
      </c>
      <c r="K330" s="109">
        <v>11400</v>
      </c>
    </row>
    <row r="331" spans="9:11" x14ac:dyDescent="0.35">
      <c r="I331" t="s">
        <v>501</v>
      </c>
      <c r="J331">
        <v>186450</v>
      </c>
      <c r="K331" s="109">
        <v>12400</v>
      </c>
    </row>
    <row r="332" spans="9:11" x14ac:dyDescent="0.35">
      <c r="I332" t="s">
        <v>502</v>
      </c>
      <c r="J332">
        <v>63781</v>
      </c>
      <c r="K332" s="109">
        <v>11400</v>
      </c>
    </row>
    <row r="333" spans="9:11" x14ac:dyDescent="0.35">
      <c r="I333" t="s">
        <v>503</v>
      </c>
      <c r="J333">
        <v>185901</v>
      </c>
      <c r="K333" s="109">
        <v>11400</v>
      </c>
    </row>
    <row r="334" spans="9:11" x14ac:dyDescent="0.35">
      <c r="I334" t="s">
        <v>504</v>
      </c>
      <c r="J334">
        <v>60377</v>
      </c>
      <c r="K334" s="109">
        <v>11400</v>
      </c>
    </row>
    <row r="335" spans="9:11" x14ac:dyDescent="0.35">
      <c r="I335" t="s">
        <v>505</v>
      </c>
      <c r="J335">
        <v>67380</v>
      </c>
      <c r="K335" s="109">
        <v>16400</v>
      </c>
    </row>
    <row r="336" spans="9:11" x14ac:dyDescent="0.35">
      <c r="I336" t="s">
        <v>506</v>
      </c>
      <c r="J336">
        <v>65483</v>
      </c>
      <c r="K336" s="109">
        <v>18400</v>
      </c>
    </row>
    <row r="337" spans="9:11" x14ac:dyDescent="0.35">
      <c r="I337" t="s">
        <v>507</v>
      </c>
      <c r="J337">
        <v>61964</v>
      </c>
      <c r="K337" s="109">
        <v>11400</v>
      </c>
    </row>
    <row r="338" spans="9:11" x14ac:dyDescent="0.35">
      <c r="I338" t="s">
        <v>508</v>
      </c>
      <c r="J338">
        <v>65506</v>
      </c>
      <c r="K338" s="109">
        <v>11400</v>
      </c>
    </row>
    <row r="339" spans="9:11" x14ac:dyDescent="0.35">
      <c r="I339" t="s">
        <v>509</v>
      </c>
      <c r="J339">
        <v>187341</v>
      </c>
      <c r="K339" s="109">
        <v>11400</v>
      </c>
    </row>
    <row r="340" spans="9:11" x14ac:dyDescent="0.35">
      <c r="I340" t="s">
        <v>510</v>
      </c>
      <c r="J340">
        <v>180420</v>
      </c>
      <c r="K340" s="109">
        <v>11400</v>
      </c>
    </row>
    <row r="341" spans="9:11" x14ac:dyDescent="0.35">
      <c r="I341" t="s">
        <v>511</v>
      </c>
      <c r="J341">
        <v>962651</v>
      </c>
      <c r="K341" s="109">
        <v>12400</v>
      </c>
    </row>
    <row r="342" spans="9:11" x14ac:dyDescent="0.35">
      <c r="I342" t="s">
        <v>512</v>
      </c>
      <c r="J342">
        <v>67447</v>
      </c>
      <c r="K342" s="109">
        <v>13400</v>
      </c>
    </row>
    <row r="343" spans="9:11" x14ac:dyDescent="0.35">
      <c r="I343" t="s">
        <v>513</v>
      </c>
      <c r="J343">
        <v>67141</v>
      </c>
      <c r="K343" s="109">
        <v>16400</v>
      </c>
    </row>
    <row r="344" spans="9:11" x14ac:dyDescent="0.35">
      <c r="I344" t="s">
        <v>514</v>
      </c>
      <c r="J344">
        <v>186461</v>
      </c>
      <c r="K344" s="109">
        <v>14400</v>
      </c>
    </row>
    <row r="345" spans="9:11" x14ac:dyDescent="0.35">
      <c r="I345" t="s">
        <v>515</v>
      </c>
      <c r="J345">
        <v>62764</v>
      </c>
      <c r="K345" s="109">
        <v>16400</v>
      </c>
    </row>
    <row r="346" spans="9:11" x14ac:dyDescent="0.35">
      <c r="I346" t="s">
        <v>516</v>
      </c>
      <c r="J346">
        <v>67460</v>
      </c>
      <c r="K346" s="109">
        <v>12400</v>
      </c>
    </row>
    <row r="347" spans="9:11" x14ac:dyDescent="0.35">
      <c r="I347" t="s">
        <v>517</v>
      </c>
      <c r="J347">
        <v>62024</v>
      </c>
      <c r="K347" s="109">
        <v>18400</v>
      </c>
    </row>
    <row r="348" spans="9:11" x14ac:dyDescent="0.35">
      <c r="I348" t="s">
        <v>518</v>
      </c>
      <c r="J348">
        <v>67482</v>
      </c>
      <c r="K348" s="109">
        <v>18400</v>
      </c>
    </row>
    <row r="349" spans="9:11" x14ac:dyDescent="0.35">
      <c r="I349" t="s">
        <v>519</v>
      </c>
      <c r="J349">
        <v>180464</v>
      </c>
      <c r="K349" s="109">
        <v>11400</v>
      </c>
    </row>
    <row r="350" spans="9:11" x14ac:dyDescent="0.35">
      <c r="I350" t="s">
        <v>520</v>
      </c>
      <c r="J350">
        <v>171106</v>
      </c>
      <c r="K350" s="109">
        <v>19400</v>
      </c>
    </row>
    <row r="351" spans="9:11" x14ac:dyDescent="0.35">
      <c r="I351" t="s">
        <v>521</v>
      </c>
      <c r="J351">
        <v>65563</v>
      </c>
      <c r="K351" s="109">
        <v>18400</v>
      </c>
    </row>
    <row r="352" spans="9:11" x14ac:dyDescent="0.35">
      <c r="I352" t="s">
        <v>522</v>
      </c>
      <c r="J352">
        <v>186005</v>
      </c>
      <c r="K352" s="109">
        <v>12400</v>
      </c>
    </row>
    <row r="353" spans="9:11" x14ac:dyDescent="0.35">
      <c r="I353" t="s">
        <v>523</v>
      </c>
      <c r="J353">
        <v>65585</v>
      </c>
      <c r="K353" s="109">
        <v>14400</v>
      </c>
    </row>
    <row r="354" spans="9:11" x14ac:dyDescent="0.35">
      <c r="I354" t="s">
        <v>524</v>
      </c>
      <c r="J354">
        <v>64570</v>
      </c>
      <c r="K354" s="109">
        <v>11400</v>
      </c>
    </row>
    <row r="355" spans="9:11" x14ac:dyDescent="0.35">
      <c r="I355" t="s">
        <v>525</v>
      </c>
      <c r="J355">
        <v>185945</v>
      </c>
      <c r="K355" s="109">
        <v>19400</v>
      </c>
    </row>
    <row r="356" spans="9:11" x14ac:dyDescent="0.35">
      <c r="I356" t="s">
        <v>526</v>
      </c>
      <c r="J356">
        <v>185956</v>
      </c>
      <c r="K356" s="109">
        <v>16400</v>
      </c>
    </row>
    <row r="357" spans="9:11" x14ac:dyDescent="0.35">
      <c r="I357" t="s">
        <v>527</v>
      </c>
      <c r="J357">
        <v>180486</v>
      </c>
      <c r="K357" s="109">
        <v>11400</v>
      </c>
    </row>
    <row r="358" spans="9:11" x14ac:dyDescent="0.35">
      <c r="I358" t="s">
        <v>528</v>
      </c>
      <c r="J358">
        <v>65552</v>
      </c>
      <c r="K358" s="109">
        <v>14400</v>
      </c>
    </row>
    <row r="359" spans="9:11" x14ac:dyDescent="0.35">
      <c r="I359" t="s">
        <v>529</v>
      </c>
      <c r="J359">
        <v>63804</v>
      </c>
      <c r="K359" s="109">
        <v>15400</v>
      </c>
    </row>
    <row r="360" spans="9:11" x14ac:dyDescent="0.35">
      <c r="I360" t="s">
        <v>530</v>
      </c>
      <c r="J360">
        <v>65608</v>
      </c>
      <c r="K360" s="109">
        <v>13400</v>
      </c>
    </row>
    <row r="361" spans="9:11" x14ac:dyDescent="0.35">
      <c r="I361" t="s">
        <v>531</v>
      </c>
      <c r="J361">
        <v>60253</v>
      </c>
      <c r="K361" s="109">
        <v>11400</v>
      </c>
    </row>
    <row r="362" spans="9:11" x14ac:dyDescent="0.35">
      <c r="I362" t="s">
        <v>532</v>
      </c>
      <c r="J362">
        <v>186164</v>
      </c>
      <c r="K362" s="109">
        <v>15400</v>
      </c>
    </row>
    <row r="363" spans="9:11" x14ac:dyDescent="0.35">
      <c r="I363" t="s">
        <v>533</v>
      </c>
      <c r="J363">
        <v>62068</v>
      </c>
      <c r="K363" s="109">
        <v>16400</v>
      </c>
    </row>
    <row r="364" spans="9:11" x14ac:dyDescent="0.35">
      <c r="I364" t="s">
        <v>534</v>
      </c>
      <c r="J364">
        <v>186200</v>
      </c>
      <c r="K364" s="109">
        <v>11400</v>
      </c>
    </row>
  </sheetData>
  <sheetProtection algorithmName="SHA-512" hashValue="w9k6+ONNyyFlA67HBTgTC2W0V4qOkD2tmw+UhVxqb1FoldmkMDh7YRaNNLQnZycZ6hn/IDZ5KA30ODfh0W+5/g==" saltValue="fyts8Vw5bFTIuVdGVWXrF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3889c9b-45dd-4bca-a67c-9a4ff2b541e8" xsi:nil="true"/>
    <lcf76f155ced4ddcb4097134ff3c332f xmlns="842773a7-bc23-41ab-bb9a-8dabc060f93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729CA8F030A6F4D9952A9B86C281E60" ma:contentTypeVersion="12" ma:contentTypeDescription="Create a new document." ma:contentTypeScope="" ma:versionID="320e06579dd6b296721dc84deb550c2a">
  <xsd:schema xmlns:xsd="http://www.w3.org/2001/XMLSchema" xmlns:xs="http://www.w3.org/2001/XMLSchema" xmlns:p="http://schemas.microsoft.com/office/2006/metadata/properties" xmlns:ns2="842773a7-bc23-41ab-bb9a-8dabc060f938" xmlns:ns3="a3889c9b-45dd-4bca-a67c-9a4ff2b541e8" targetNamespace="http://schemas.microsoft.com/office/2006/metadata/properties" ma:root="true" ma:fieldsID="74211d9151acf37bfb314a6f999dd1f4" ns2:_="" ns3:_="">
    <xsd:import namespace="842773a7-bc23-41ab-bb9a-8dabc060f938"/>
    <xsd:import namespace="a3889c9b-45dd-4bca-a67c-9a4ff2b541e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773a7-bc23-41ab-bb9a-8dabc060f9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f6c1a4-cbea-4bff-a8c5-79e21740ba2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3889c9b-45dd-4bca-a67c-9a4ff2b541e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b0d46c-62dc-4032-8a6f-718313b08cf5}" ma:internalName="TaxCatchAll" ma:showField="CatchAllData" ma:web="a3889c9b-45dd-4bca-a67c-9a4ff2b541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7AD87D-C1E5-40F1-9073-E6D88BB194F8}">
  <ds:schemaRefs>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http://purl.org/dc/terms/"/>
    <ds:schemaRef ds:uri="http://schemas.microsoft.com/office/2006/metadata/properties"/>
    <ds:schemaRef ds:uri="a3889c9b-45dd-4bca-a67c-9a4ff2b541e8"/>
    <ds:schemaRef ds:uri="842773a7-bc23-41ab-bb9a-8dabc060f938"/>
    <ds:schemaRef ds:uri="http://purl.org/dc/dcmitype/"/>
    <ds:schemaRef ds:uri="http://purl.org/dc/elements/1.1/"/>
  </ds:schemaRefs>
</ds:datastoreItem>
</file>

<file path=customXml/itemProps2.xml><?xml version="1.0" encoding="utf-8"?>
<ds:datastoreItem xmlns:ds="http://schemas.openxmlformats.org/officeDocument/2006/customXml" ds:itemID="{BF998695-69A7-40C1-A0A2-8CF4A3CE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773a7-bc23-41ab-bb9a-8dabc060f938"/>
    <ds:schemaRef ds:uri="a3889c9b-45dd-4bca-a67c-9a4ff2b541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851809-1A15-4BEF-8BDE-707D014F2E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table</vt:lpstr>
      <vt:lpstr>Comp Form</vt:lpstr>
      <vt:lpstr>Minimum Salary</vt:lpstr>
      <vt:lpstr>Staff Info</vt:lpstr>
      <vt:lpstr>'Minimum Salary'!Print_Area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Curran</dc:creator>
  <cp:lastModifiedBy>Adam Curran</cp:lastModifiedBy>
  <cp:lastPrinted>2025-09-16T14:47:46Z</cp:lastPrinted>
  <dcterms:created xsi:type="dcterms:W3CDTF">2024-06-12T16:27:58Z</dcterms:created>
  <dcterms:modified xsi:type="dcterms:W3CDTF">2025-09-29T15:24:47Z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0x0101006729CA8F030A6F4D9952A9B86C281E60</vt:lpwstr>
  </property>
  <property fmtid="{D5CDD505-2E9C-101B-9397-08002B2CF9AE}" pid="3" name="MediaServiceImageTags">
    <vt:lpwstr/>
  </property>
</Properties>
</file>