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Adam Curran\OneDrive - The Eastern PA Conference - UMC\Documents\UMC Docs\Excel\Church Conference Forms\Compensation Form\Report\"/>
    </mc:Choice>
  </mc:AlternateContent>
  <xr:revisionPtr revIDLastSave="0" documentId="13_ncr:1_{254AAC03-709F-4357-A277-8D47608A818D}" xr6:coauthVersionLast="47" xr6:coauthVersionMax="47" xr10:uidLastSave="{00000000-0000-0000-0000-000000000000}"/>
  <bookViews>
    <workbookView xWindow="-28920" yWindow="-120" windowWidth="29040" windowHeight="15720" firstSheet="1" activeTab="1" xr2:uid="{6F9F7F9E-A8E2-4BF1-8071-BF18F6AED62A}"/>
  </bookViews>
  <sheets>
    <sheet name="table" sheetId="3" state="hidden" r:id="rId1"/>
    <sheet name="Comp Form" sheetId="1" r:id="rId2"/>
    <sheet name="Minimum Salary" sheetId="4" r:id="rId3"/>
    <sheet name="Staff Info" sheetId="2" state="hidden" r:id="rId4"/>
  </sheets>
  <definedNames>
    <definedName name="_xlnm.Print_Area" localSheetId="1">'Comp Form'!$A$1:$P$151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1" l="1"/>
  <c r="K32" i="1" s="1"/>
  <c r="L31" i="1"/>
  <c r="M31" i="1"/>
  <c r="N31" i="1"/>
  <c r="N32" i="1" s="1"/>
  <c r="K30" i="1"/>
  <c r="L30" i="1"/>
  <c r="M30" i="1"/>
  <c r="N30" i="1"/>
  <c r="L32" i="1"/>
  <c r="M32" i="1"/>
  <c r="J53" i="1"/>
  <c r="P51" i="1"/>
  <c r="N53" i="1"/>
  <c r="M53" i="1"/>
  <c r="L53" i="1"/>
  <c r="K53" i="1"/>
  <c r="L11" i="1"/>
  <c r="N59" i="1"/>
  <c r="N38" i="1"/>
  <c r="N11" i="1"/>
  <c r="M59" i="1"/>
  <c r="M38" i="1"/>
  <c r="L59" i="1"/>
  <c r="L38" i="1"/>
  <c r="K59" i="1"/>
  <c r="K38" i="1"/>
  <c r="J59" i="1"/>
  <c r="J38" i="1"/>
  <c r="M11" i="1" l="1"/>
  <c r="K11" i="1"/>
  <c r="J11" i="1"/>
  <c r="P54" i="1"/>
  <c r="P55" i="1" l="1"/>
  <c r="H4" i="4" l="1"/>
  <c r="G4" i="4"/>
  <c r="F4" i="4"/>
  <c r="F24" i="4" s="1"/>
  <c r="H24" i="4"/>
  <c r="G24" i="4"/>
  <c r="E24" i="4"/>
  <c r="D24" i="4"/>
  <c r="C24" i="4"/>
  <c r="B24" i="4"/>
  <c r="H23" i="4"/>
  <c r="G23" i="4"/>
  <c r="F23" i="4"/>
  <c r="E23" i="4"/>
  <c r="D23" i="4"/>
  <c r="C23" i="4"/>
  <c r="B23" i="4"/>
  <c r="H22" i="4"/>
  <c r="G22" i="4"/>
  <c r="F22" i="4"/>
  <c r="E22" i="4"/>
  <c r="D22" i="4"/>
  <c r="C22" i="4"/>
  <c r="B22" i="4"/>
  <c r="H21" i="4"/>
  <c r="G21" i="4"/>
  <c r="F21" i="4"/>
  <c r="E21" i="4"/>
  <c r="D21" i="4"/>
  <c r="C21" i="4"/>
  <c r="B21" i="4"/>
  <c r="H20" i="4"/>
  <c r="G20" i="4"/>
  <c r="F20" i="4"/>
  <c r="E20" i="4"/>
  <c r="D20" i="4"/>
  <c r="C20" i="4"/>
  <c r="B20" i="4"/>
  <c r="H19" i="4"/>
  <c r="G19" i="4"/>
  <c r="F19" i="4"/>
  <c r="E19" i="4"/>
  <c r="D19" i="4"/>
  <c r="C19" i="4"/>
  <c r="B19" i="4"/>
  <c r="H18" i="4"/>
  <c r="G18" i="4"/>
  <c r="F18" i="4"/>
  <c r="E18" i="4"/>
  <c r="D18" i="4"/>
  <c r="C18" i="4"/>
  <c r="B18" i="4"/>
  <c r="H17" i="4"/>
  <c r="G17" i="4"/>
  <c r="F17" i="4"/>
  <c r="E17" i="4"/>
  <c r="D17" i="4"/>
  <c r="C17" i="4"/>
  <c r="B17" i="4"/>
  <c r="H16" i="4"/>
  <c r="G16" i="4"/>
  <c r="F16" i="4"/>
  <c r="E16" i="4"/>
  <c r="D16" i="4"/>
  <c r="C16" i="4"/>
  <c r="B16" i="4"/>
  <c r="H15" i="4"/>
  <c r="G15" i="4"/>
  <c r="F15" i="4"/>
  <c r="E15" i="4"/>
  <c r="D15" i="4"/>
  <c r="C15" i="4"/>
  <c r="B15" i="4"/>
  <c r="H14" i="4"/>
  <c r="G14" i="4"/>
  <c r="F14" i="4"/>
  <c r="E14" i="4"/>
  <c r="D14" i="4"/>
  <c r="C14" i="4"/>
  <c r="B14" i="4"/>
  <c r="H13" i="4"/>
  <c r="G13" i="4"/>
  <c r="F13" i="4"/>
  <c r="E13" i="4"/>
  <c r="D13" i="4"/>
  <c r="C13" i="4"/>
  <c r="B13" i="4"/>
  <c r="H12" i="4"/>
  <c r="G12" i="4"/>
  <c r="F12" i="4"/>
  <c r="E12" i="4"/>
  <c r="D12" i="4"/>
  <c r="C12" i="4"/>
  <c r="B12" i="4"/>
  <c r="H11" i="4"/>
  <c r="G11" i="4"/>
  <c r="F11" i="4"/>
  <c r="E11" i="4"/>
  <c r="D11" i="4"/>
  <c r="C11" i="4"/>
  <c r="B11" i="4"/>
  <c r="H10" i="4"/>
  <c r="G10" i="4"/>
  <c r="F10" i="4"/>
  <c r="E10" i="4"/>
  <c r="D10" i="4"/>
  <c r="C10" i="4"/>
  <c r="B10" i="4"/>
  <c r="H9" i="4"/>
  <c r="G9" i="4"/>
  <c r="F9" i="4"/>
  <c r="E9" i="4"/>
  <c r="D9" i="4"/>
  <c r="C9" i="4"/>
  <c r="B9" i="4"/>
  <c r="H8" i="4"/>
  <c r="G8" i="4"/>
  <c r="F8" i="4"/>
  <c r="E8" i="4"/>
  <c r="D8" i="4"/>
  <c r="C8" i="4"/>
  <c r="B8" i="4"/>
  <c r="H7" i="4"/>
  <c r="G7" i="4"/>
  <c r="F7" i="4"/>
  <c r="E7" i="4"/>
  <c r="D7" i="4"/>
  <c r="C7" i="4"/>
  <c r="B7" i="4"/>
  <c r="H6" i="4"/>
  <c r="G6" i="4"/>
  <c r="F6" i="4"/>
  <c r="E6" i="4"/>
  <c r="D6" i="4"/>
  <c r="C6" i="4"/>
  <c r="B6" i="4"/>
  <c r="H5" i="4"/>
  <c r="G5" i="4"/>
  <c r="F5" i="4"/>
  <c r="E5" i="4"/>
  <c r="D5" i="4"/>
  <c r="C5" i="4"/>
  <c r="B5" i="4"/>
  <c r="J8" i="1" l="1"/>
  <c r="J7" i="1"/>
  <c r="F8" i="1"/>
  <c r="F7" i="1"/>
  <c r="C8" i="1"/>
  <c r="C7" i="1"/>
  <c r="G6" i="3"/>
  <c r="G5" i="3"/>
  <c r="G4" i="3"/>
  <c r="G3" i="3"/>
  <c r="G2" i="3"/>
  <c r="F6" i="3"/>
  <c r="F5" i="3"/>
  <c r="F4" i="3"/>
  <c r="F3" i="3"/>
  <c r="F2" i="3"/>
  <c r="E6" i="3"/>
  <c r="E5" i="3"/>
  <c r="E4" i="3"/>
  <c r="E3" i="3"/>
  <c r="E2" i="3"/>
  <c r="A6" i="3"/>
  <c r="A5" i="3"/>
  <c r="A4" i="3"/>
  <c r="A3" i="3"/>
  <c r="A2" i="3"/>
  <c r="C6" i="3"/>
  <c r="C5" i="3"/>
  <c r="C4" i="3"/>
  <c r="C3" i="3"/>
  <c r="C2" i="3"/>
  <c r="D6" i="3"/>
  <c r="D5" i="3"/>
  <c r="D4" i="3"/>
  <c r="D3" i="3"/>
  <c r="D2" i="3"/>
  <c r="U2" i="3"/>
  <c r="I4" i="3" l="1"/>
  <c r="I3" i="3"/>
  <c r="I2" i="3"/>
  <c r="B6" i="3"/>
  <c r="AN6" i="3"/>
  <c r="B5" i="3"/>
  <c r="AN5" i="3"/>
  <c r="B4" i="3"/>
  <c r="AN4" i="3"/>
  <c r="B3" i="3"/>
  <c r="AN3" i="3"/>
  <c r="B2" i="3"/>
  <c r="AN2" i="3"/>
  <c r="J6" i="3"/>
  <c r="J5" i="3"/>
  <c r="J4" i="3"/>
  <c r="J2" i="3"/>
  <c r="J3" i="3"/>
  <c r="AF6" i="3"/>
  <c r="AG6" i="3"/>
  <c r="AH6" i="3"/>
  <c r="AI6" i="3"/>
  <c r="AJ6" i="3"/>
  <c r="AD6" i="3"/>
  <c r="AI5" i="3"/>
  <c r="AJ5" i="3"/>
  <c r="AD5" i="3"/>
  <c r="AF5" i="3"/>
  <c r="AG5" i="3"/>
  <c r="AH5" i="3"/>
  <c r="AJ4" i="3"/>
  <c r="AF2" i="3"/>
  <c r="AH2" i="3"/>
  <c r="AG4" i="3"/>
  <c r="AH4" i="3"/>
  <c r="AD4" i="3"/>
  <c r="AF4" i="3"/>
  <c r="AI4" i="3"/>
  <c r="AH3" i="3"/>
  <c r="AF3" i="3"/>
  <c r="AI2" i="3"/>
  <c r="AG2" i="3"/>
  <c r="AG3" i="3"/>
  <c r="AD2" i="3"/>
  <c r="AD3" i="3"/>
  <c r="AI3" i="3"/>
  <c r="AJ2" i="3"/>
  <c r="AJ3" i="3"/>
  <c r="O8" i="1" l="1"/>
  <c r="I6" i="3" s="1"/>
  <c r="M8" i="1"/>
  <c r="I5" i="3" s="1"/>
  <c r="O7" i="1"/>
  <c r="M7" i="1"/>
  <c r="P48" i="1" l="1"/>
  <c r="P29" i="1"/>
  <c r="P28" i="1"/>
  <c r="AK6" i="3"/>
  <c r="AK5" i="3"/>
  <c r="AK4" i="3"/>
  <c r="Z6" i="3"/>
  <c r="Z5" i="3"/>
  <c r="Z4" i="3"/>
  <c r="Y6" i="3"/>
  <c r="Y5" i="3"/>
  <c r="Y4" i="3"/>
  <c r="W6" i="3"/>
  <c r="W5" i="3"/>
  <c r="W4" i="3"/>
  <c r="V6" i="3"/>
  <c r="V5" i="3"/>
  <c r="V4" i="3"/>
  <c r="U6" i="3"/>
  <c r="U5" i="3"/>
  <c r="T6" i="3"/>
  <c r="T5" i="3"/>
  <c r="T4" i="3"/>
  <c r="S6" i="3"/>
  <c r="S5" i="3"/>
  <c r="S4" i="3"/>
  <c r="Q6" i="3"/>
  <c r="Q5" i="3"/>
  <c r="Q4" i="3"/>
  <c r="P6" i="3"/>
  <c r="P5" i="3"/>
  <c r="O6" i="3"/>
  <c r="O5" i="3"/>
  <c r="N6" i="3"/>
  <c r="N5" i="3"/>
  <c r="M3" i="3"/>
  <c r="M2" i="3"/>
  <c r="M6" i="3"/>
  <c r="M5" i="3"/>
  <c r="M4" i="3"/>
  <c r="L6" i="3"/>
  <c r="P22" i="1"/>
  <c r="P23" i="1"/>
  <c r="P24" i="1"/>
  <c r="P25" i="1"/>
  <c r="P21" i="1"/>
  <c r="P14" i="1"/>
  <c r="P15" i="1"/>
  <c r="P16" i="1"/>
  <c r="P17" i="1"/>
  <c r="P18" i="1"/>
  <c r="P13" i="1"/>
  <c r="M26" i="1"/>
  <c r="N26" i="1"/>
  <c r="N19" i="1"/>
  <c r="L5" i="3"/>
  <c r="M19" i="1"/>
  <c r="U4" i="3"/>
  <c r="P4" i="3"/>
  <c r="O4" i="3"/>
  <c r="N4" i="3"/>
  <c r="L4" i="3"/>
  <c r="Z3" i="3"/>
  <c r="Y3" i="3"/>
  <c r="W3" i="3"/>
  <c r="V3" i="3"/>
  <c r="U3" i="3"/>
  <c r="T3" i="3"/>
  <c r="S3" i="3"/>
  <c r="Q3" i="3"/>
  <c r="P3" i="3"/>
  <c r="O3" i="3"/>
  <c r="N3" i="3"/>
  <c r="L3" i="3"/>
  <c r="Z2" i="3"/>
  <c r="Y2" i="3"/>
  <c r="W2" i="3"/>
  <c r="V2" i="3"/>
  <c r="T2" i="3"/>
  <c r="S2" i="3"/>
  <c r="Q2" i="3"/>
  <c r="P2" i="3"/>
  <c r="O2" i="3"/>
  <c r="N2" i="3"/>
  <c r="L2" i="3"/>
  <c r="AK3" i="3"/>
  <c r="AK2" i="3"/>
  <c r="C97" i="1"/>
  <c r="L26" i="1"/>
  <c r="K26" i="1"/>
  <c r="J26" i="1"/>
  <c r="J31" i="1" s="1"/>
  <c r="J32" i="1" s="1"/>
  <c r="L19" i="1"/>
  <c r="K19" i="1"/>
  <c r="J19" i="1"/>
  <c r="J30" i="1" l="1"/>
  <c r="H6" i="3"/>
  <c r="K6" i="3"/>
  <c r="H4" i="3"/>
  <c r="K4" i="3"/>
  <c r="K5" i="3"/>
  <c r="H5" i="3"/>
  <c r="K3" i="3"/>
  <c r="H3" i="3"/>
  <c r="K2" i="3"/>
  <c r="H2" i="3"/>
  <c r="K40" i="1"/>
  <c r="K41" i="1" s="1"/>
  <c r="AW5" i="3"/>
  <c r="X5" i="3"/>
  <c r="X6" i="3"/>
  <c r="AP5" i="3"/>
  <c r="R6" i="3"/>
  <c r="AR5" i="3"/>
  <c r="AR6" i="3"/>
  <c r="R5" i="3"/>
  <c r="AP6" i="3"/>
  <c r="AW4" i="3"/>
  <c r="P26" i="1"/>
  <c r="AW6" i="3"/>
  <c r="P58" i="1"/>
  <c r="P19" i="1"/>
  <c r="P53" i="1"/>
  <c r="L40" i="1"/>
  <c r="L41" i="1" s="1"/>
  <c r="AP4" i="3"/>
  <c r="AR4" i="3"/>
  <c r="AR3" i="3"/>
  <c r="AW2" i="3"/>
  <c r="AP2" i="3"/>
  <c r="AR2" i="3"/>
  <c r="AW3" i="3"/>
  <c r="AP3" i="3"/>
  <c r="X2" i="3"/>
  <c r="R2" i="3"/>
  <c r="X3" i="3"/>
  <c r="R4" i="3"/>
  <c r="R3" i="3"/>
  <c r="X4" i="3"/>
  <c r="N40" i="1" l="1"/>
  <c r="N41" i="1" s="1"/>
  <c r="N49" i="1" s="1"/>
  <c r="N52" i="1" s="1"/>
  <c r="M40" i="1"/>
  <c r="M41" i="1" s="1"/>
  <c r="M49" i="1" s="1"/>
  <c r="M52" i="1" s="1"/>
  <c r="AB6" i="3"/>
  <c r="AC6" i="3" s="1"/>
  <c r="AE6" i="3" s="1"/>
  <c r="AB5" i="3"/>
  <c r="AC5" i="3" s="1"/>
  <c r="AE5" i="3" s="1"/>
  <c r="AA2" i="3"/>
  <c r="AA6" i="3"/>
  <c r="K49" i="1"/>
  <c r="K52" i="1" s="1"/>
  <c r="AA5" i="3"/>
  <c r="P30" i="1"/>
  <c r="P31" i="1"/>
  <c r="AA4" i="3"/>
  <c r="AB4" i="3"/>
  <c r="AC4" i="3" s="1"/>
  <c r="AE4" i="3" s="1"/>
  <c r="AB3" i="3"/>
  <c r="AC3" i="3" s="1"/>
  <c r="AE3" i="3" s="1"/>
  <c r="AB2" i="3"/>
  <c r="AC2" i="3" s="1"/>
  <c r="AE2" i="3" s="1"/>
  <c r="AA3" i="3"/>
  <c r="L49" i="1"/>
  <c r="L50" i="1" l="1"/>
  <c r="L52" i="1"/>
  <c r="M50" i="1"/>
  <c r="M56" i="1" s="1"/>
  <c r="M60" i="1" s="1"/>
  <c r="AL3" i="3"/>
  <c r="K50" i="1"/>
  <c r="N50" i="1"/>
  <c r="N56" i="1" s="1"/>
  <c r="N60" i="1" s="1"/>
  <c r="AL6" i="3"/>
  <c r="AO6" i="3"/>
  <c r="AL5" i="3"/>
  <c r="AO5" i="3"/>
  <c r="P32" i="1"/>
  <c r="J40" i="1"/>
  <c r="J41" i="1" s="1"/>
  <c r="P41" i="1" s="1"/>
  <c r="C118" i="1" s="1"/>
  <c r="AO3" i="3"/>
  <c r="AL4" i="3"/>
  <c r="AO4" i="3"/>
  <c r="AM4" i="3"/>
  <c r="K56" i="1" l="1"/>
  <c r="K60" i="1" s="1"/>
  <c r="L56" i="1"/>
  <c r="L60" i="1" s="1"/>
  <c r="AM6" i="3"/>
  <c r="AM3" i="3"/>
  <c r="AM5" i="3"/>
  <c r="J49" i="1"/>
  <c r="C119" i="1"/>
  <c r="J118" i="1"/>
  <c r="C104" i="1"/>
  <c r="J121" i="1"/>
  <c r="J122" i="1"/>
  <c r="C105" i="1"/>
  <c r="C107" i="1"/>
  <c r="C120" i="1"/>
  <c r="C121" i="1"/>
  <c r="C122" i="1"/>
  <c r="C106" i="1"/>
  <c r="J119" i="1"/>
  <c r="C108" i="1"/>
  <c r="J120" i="1"/>
  <c r="J50" i="1" l="1"/>
  <c r="J52" i="1"/>
  <c r="P52" i="1" s="1"/>
  <c r="AL2" i="3"/>
  <c r="AX5" i="3"/>
  <c r="AQ2" i="3"/>
  <c r="P49" i="1"/>
  <c r="AQ4" i="3"/>
  <c r="AQ3" i="3"/>
  <c r="AQ6" i="3"/>
  <c r="J56" i="1" l="1"/>
  <c r="AS2" i="3" s="1"/>
  <c r="P50" i="1"/>
  <c r="AM2" i="3"/>
  <c r="AO2" i="3"/>
  <c r="AQ5" i="3"/>
  <c r="AS5" i="3"/>
  <c r="AX3" i="3"/>
  <c r="AX4" i="3"/>
  <c r="AX6" i="3"/>
  <c r="J60" i="1" l="1"/>
  <c r="P60" i="1" s="1"/>
  <c r="AS3" i="3"/>
  <c r="AS4" i="3"/>
  <c r="AS6" i="3"/>
  <c r="P56" i="1"/>
  <c r="AX2" i="3" l="1"/>
</calcChain>
</file>

<file path=xl/sharedStrings.xml><?xml version="1.0" encoding="utf-8"?>
<sst xmlns="http://schemas.openxmlformats.org/spreadsheetml/2006/main" count="1035" uniqueCount="994">
  <si>
    <t>date_effective</t>
  </si>
  <si>
    <t>district</t>
  </si>
  <si>
    <t>clergy_name</t>
  </si>
  <si>
    <t>status_time</t>
  </si>
  <si>
    <t>conf_relation</t>
  </si>
  <si>
    <t>church_name</t>
  </si>
  <si>
    <t>church_number</t>
  </si>
  <si>
    <t>salary</t>
  </si>
  <si>
    <t xml:space="preserve">Church # </t>
  </si>
  <si>
    <t>Church #</t>
  </si>
  <si>
    <t>It is highly recommended to review the instructions as a guide when completing this report. Click here to view these instructions.</t>
  </si>
  <si>
    <t>TOTAL</t>
  </si>
  <si>
    <t xml:space="preserve">Church Salary </t>
  </si>
  <si>
    <r>
      <rPr>
        <b/>
        <sz val="11"/>
        <color theme="1"/>
        <rFont val="Aptos Narrow"/>
        <family val="2"/>
        <scheme val="minor"/>
      </rPr>
      <t>Taxable Cash Allowances</t>
    </r>
    <r>
      <rPr>
        <sz val="11"/>
        <color theme="1"/>
        <rFont val="Aptos Narrow"/>
        <family val="2"/>
        <scheme val="minor"/>
      </rPr>
      <t xml:space="preserve"> </t>
    </r>
    <r>
      <rPr>
        <sz val="10"/>
        <color theme="1"/>
        <rFont val="Aptos Narrow"/>
        <family val="2"/>
        <scheme val="minor"/>
      </rPr>
      <t xml:space="preserve">(e.g. non-vouchered expenses, bonuses, etc.)  </t>
    </r>
  </si>
  <si>
    <r>
      <rPr>
        <b/>
        <sz val="11"/>
        <color theme="1"/>
        <rFont val="Aptos Narrow"/>
        <family val="2"/>
        <scheme val="minor"/>
      </rPr>
      <t>Total Salary</t>
    </r>
    <r>
      <rPr>
        <sz val="11"/>
        <color theme="1"/>
        <rFont val="Aptos Narrow"/>
        <family val="2"/>
        <scheme val="minor"/>
      </rPr>
      <t xml:space="preserve"> </t>
    </r>
    <r>
      <rPr>
        <sz val="10"/>
        <color theme="1"/>
        <rFont val="Aptos Narrow"/>
        <family val="2"/>
        <scheme val="minor"/>
      </rPr>
      <t xml:space="preserve">(Total of lines 1-6) </t>
    </r>
  </si>
  <si>
    <t xml:space="preserve"> SALARY COMPONENTS</t>
  </si>
  <si>
    <r>
      <t xml:space="preserve">Tax Sheltered Salary Items </t>
    </r>
    <r>
      <rPr>
        <sz val="11"/>
        <color indexed="8"/>
        <rFont val="Aptos Narrow"/>
        <family val="2"/>
        <scheme val="minor"/>
      </rPr>
      <t>(Do not report in W-2 Box 1)</t>
    </r>
  </si>
  <si>
    <r>
      <rPr>
        <b/>
        <sz val="11"/>
        <color theme="1"/>
        <rFont val="Aptos Narrow"/>
        <family val="2"/>
        <scheme val="minor"/>
      </rPr>
      <t xml:space="preserve">Other Tax-Deferred IRS Section 403(b) Investment
</t>
    </r>
    <r>
      <rPr>
        <sz val="10.5"/>
        <color theme="1"/>
        <rFont val="Aptos Narrow"/>
        <family val="2"/>
        <scheme val="minor"/>
      </rPr>
      <t>Withheld from salary shown on line 7
Report in W-2 Box 12, Code E</t>
    </r>
  </si>
  <si>
    <r>
      <rPr>
        <b/>
        <sz val="11"/>
        <color theme="1"/>
        <rFont val="Aptos Narrow"/>
        <family val="2"/>
        <scheme val="minor"/>
      </rPr>
      <t xml:space="preserve">Flexible Spending Account Contribution (FSA)
</t>
    </r>
    <r>
      <rPr>
        <sz val="10.5"/>
        <color theme="1"/>
        <rFont val="Aptos Narrow"/>
        <family val="2"/>
        <scheme val="minor"/>
      </rPr>
      <t xml:space="preserve">If offered by local church, max allowable contribution is $2,850. Withheld from salary on line 7. IRS Section 125 Cafeteria Plan. Report in W-2 Box 14       </t>
    </r>
  </si>
  <si>
    <r>
      <rPr>
        <b/>
        <sz val="11"/>
        <color theme="1"/>
        <rFont val="Aptos Narrow"/>
        <family val="2"/>
        <scheme val="minor"/>
      </rPr>
      <t>Total Tax Sheltered Salary</t>
    </r>
    <r>
      <rPr>
        <sz val="10.5"/>
        <color theme="1"/>
        <rFont val="Aptos Narrow"/>
        <family val="2"/>
        <scheme val="minor"/>
      </rPr>
      <t xml:space="preserve"> (</t>
    </r>
    <r>
      <rPr>
        <sz val="10.5"/>
        <rFont val="Aptos Narrow"/>
        <family val="2"/>
        <scheme val="minor"/>
      </rPr>
      <t>Total of lines 8-12)</t>
    </r>
  </si>
  <si>
    <r>
      <t xml:space="preserve">Taxable Salary Items </t>
    </r>
    <r>
      <rPr>
        <sz val="11"/>
        <rFont val="Aptos Narrow"/>
        <family val="2"/>
        <scheme val="minor"/>
      </rPr>
      <t>(Report Lines 14 and 15 in W-2 Box 1)</t>
    </r>
  </si>
  <si>
    <r>
      <rPr>
        <b/>
        <sz val="11"/>
        <rFont val="Aptos Narrow"/>
        <family val="2"/>
        <scheme val="minor"/>
      </rPr>
      <t>Cash Paid to Clergy</t>
    </r>
    <r>
      <rPr>
        <b/>
        <sz val="10.5"/>
        <rFont val="Aptos Narrow"/>
        <family val="2"/>
        <scheme val="minor"/>
      </rPr>
      <t xml:space="preserve"> </t>
    </r>
    <r>
      <rPr>
        <sz val="10.5"/>
        <rFont val="Aptos Narrow"/>
        <family val="2"/>
        <scheme val="minor"/>
      </rPr>
      <t>(Line 7 minus lines 8, 9, 10, 11, 14)</t>
    </r>
  </si>
  <si>
    <t>Parsonage</t>
  </si>
  <si>
    <r>
      <rPr>
        <b/>
        <sz val="11"/>
        <color theme="1"/>
        <rFont val="Aptos Narrow"/>
        <family val="2"/>
        <scheme val="minor"/>
      </rPr>
      <t xml:space="preserve">Is a parsonage provided for clergy?
</t>
    </r>
    <r>
      <rPr>
        <sz val="10.5"/>
        <color theme="1"/>
        <rFont val="Aptos Narrow"/>
        <family val="2"/>
        <scheme val="minor"/>
      </rPr>
      <t xml:space="preserve">If </t>
    </r>
    <r>
      <rPr>
        <b/>
        <sz val="10.5"/>
        <rFont val="Aptos Narrow"/>
        <family val="2"/>
        <scheme val="minor"/>
      </rPr>
      <t>YES</t>
    </r>
    <r>
      <rPr>
        <sz val="10.5"/>
        <color theme="1"/>
        <rFont val="Aptos Narrow"/>
        <family val="2"/>
        <scheme val="minor"/>
      </rPr>
      <t xml:space="preserve"> - enter </t>
    </r>
    <r>
      <rPr>
        <b/>
        <sz val="10.5"/>
        <color theme="1"/>
        <rFont val="Aptos Narrow"/>
        <family val="2"/>
        <scheme val="minor"/>
      </rPr>
      <t>X</t>
    </r>
    <r>
      <rPr>
        <sz val="10.5"/>
        <color theme="1"/>
        <rFont val="Aptos Narrow"/>
        <family val="2"/>
        <scheme val="minor"/>
      </rPr>
      <t xml:space="preserve"> under the appropriate church here
If </t>
    </r>
    <r>
      <rPr>
        <b/>
        <sz val="10.5"/>
        <rFont val="Aptos Narrow"/>
        <family val="2"/>
        <scheme val="minor"/>
      </rPr>
      <t>NO</t>
    </r>
    <r>
      <rPr>
        <sz val="10.5"/>
        <color theme="1"/>
        <rFont val="Aptos Narrow"/>
        <family val="2"/>
        <scheme val="minor"/>
      </rPr>
      <t xml:space="preserve"> - leave this line blank.                                                                                                         </t>
    </r>
    <r>
      <rPr>
        <b/>
        <sz val="10.5"/>
        <color theme="1"/>
        <rFont val="Aptos Narrow"/>
        <family val="2"/>
        <scheme val="minor"/>
      </rPr>
      <t xml:space="preserve">                                                                                                                                                                    </t>
    </r>
  </si>
  <si>
    <r>
      <rPr>
        <b/>
        <sz val="11"/>
        <color theme="1"/>
        <rFont val="Aptos Narrow"/>
        <family val="2"/>
        <scheme val="minor"/>
      </rPr>
      <t xml:space="preserve">Parsonage value for pension purposes
</t>
    </r>
    <r>
      <rPr>
        <sz val="10.5"/>
        <rFont val="Aptos Narrow"/>
        <family val="2"/>
        <scheme val="minor"/>
      </rPr>
      <t>If a parsonage is provided, line 19 has an X under appropriate church.
(Multiply line 19 by 25%)</t>
    </r>
  </si>
  <si>
    <r>
      <t xml:space="preserve">A. If you are serving 3/4 or 1/2 time as a SP or PL, enter </t>
    </r>
    <r>
      <rPr>
        <b/>
        <sz val="11"/>
        <rFont val="Aptos Narrow"/>
        <family val="2"/>
        <scheme val="minor"/>
      </rPr>
      <t>X</t>
    </r>
    <r>
      <rPr>
        <b/>
        <sz val="11"/>
        <color theme="1"/>
        <rFont val="Aptos Narrow"/>
        <family val="2"/>
        <scheme val="minor"/>
      </rPr>
      <t xml:space="preserve"> here</t>
    </r>
  </si>
  <si>
    <t xml:space="preserve">C. If you are serving 3/4 or 1/2 time as an OF, enter X here  </t>
  </si>
  <si>
    <t xml:space="preserve">D. If you are serving 1/2 time as an AM  FD  FE  PD  OA  OD  OE  OP  PE, enter X here  </t>
  </si>
  <si>
    <t>E. If you are serving 1/4 time as an PL  AM  FD  FE  PD  OA  OD  OE  OF  OP  PE, enter X here</t>
  </si>
  <si>
    <r>
      <rPr>
        <b/>
        <sz val="11"/>
        <color theme="1"/>
        <rFont val="Aptos Narrow"/>
        <family val="2"/>
        <scheme val="minor"/>
      </rPr>
      <t xml:space="preserve">Pension Plan Compensation
</t>
    </r>
    <r>
      <rPr>
        <sz val="10.5"/>
        <rFont val="Aptos Narrow"/>
        <family val="2"/>
        <scheme val="minor"/>
      </rPr>
      <t>If a parsonage is provided, this equals line 18 plus 20.
If a parsonage is not provided, this equals line 18.</t>
    </r>
  </si>
  <si>
    <r>
      <rPr>
        <b/>
        <sz val="11"/>
        <color theme="1"/>
        <rFont val="Aptos Narrow"/>
        <family val="2"/>
        <scheme val="minor"/>
      </rPr>
      <t>Other Non-Taxable Benefits</t>
    </r>
    <r>
      <rPr>
        <sz val="10.5"/>
        <color theme="1"/>
        <rFont val="Aptos Narrow"/>
        <family val="2"/>
        <scheme val="minor"/>
      </rPr>
      <t xml:space="preserve"> </t>
    </r>
    <r>
      <rPr>
        <sz val="10.5"/>
        <rFont val="Aptos Narrow"/>
        <family val="2"/>
        <scheme val="minor"/>
      </rPr>
      <t>(See instructions for directions/examples)</t>
    </r>
  </si>
  <si>
    <r>
      <t>Reimbursed Business Expenses (Non-Taxable)</t>
    </r>
    <r>
      <rPr>
        <sz val="11"/>
        <color indexed="8"/>
        <rFont val="Aptos Narrow"/>
        <family val="2"/>
        <scheme val="minor"/>
      </rPr>
      <t xml:space="preserve"> - </t>
    </r>
    <r>
      <rPr>
        <sz val="11"/>
        <rFont val="Aptos Narrow"/>
        <family val="2"/>
        <scheme val="minor"/>
      </rPr>
      <t>Operating expenses of the church, not salary.</t>
    </r>
    <r>
      <rPr>
        <b/>
        <sz val="11"/>
        <color theme="1"/>
        <rFont val="Aptos Narrow"/>
        <family val="2"/>
        <scheme val="minor"/>
      </rPr>
      <t xml:space="preserve"> </t>
    </r>
    <r>
      <rPr>
        <sz val="11"/>
        <color theme="1"/>
        <rFont val="Aptos Narrow"/>
        <family val="2"/>
        <scheme val="minor"/>
      </rPr>
      <t>Full time pastors receive minimum $2,500</t>
    </r>
  </si>
  <si>
    <t>Total of lines 18, 28, 32</t>
  </si>
  <si>
    <t xml:space="preserve">Type names below to sign. It is required to add these electronic signatures before sending this report to the regional office. Clicking the "I Agree" box indicates that the salary package has been approved by the appropriate body. Final approval is contingent upon a vote by the church conference and the signature of the District Superintendent. </t>
  </si>
  <si>
    <t xml:space="preserve">DATE APPROVED AT CHURCH CONFERENCE: </t>
  </si>
  <si>
    <t xml:space="preserve">TYPE NAME </t>
  </si>
  <si>
    <t>I AGREE</t>
  </si>
  <si>
    <t>TYPE EMAIL ADDRESS</t>
  </si>
  <si>
    <t>Clergy:</t>
  </si>
  <si>
    <t>Church Council Chair A:</t>
  </si>
  <si>
    <t>Church Council Chair B:</t>
  </si>
  <si>
    <t>Church Council Chair C:</t>
  </si>
  <si>
    <t>SPRC Chair A:</t>
  </si>
  <si>
    <t>SPRC Chair B:</t>
  </si>
  <si>
    <t>SPRC Chair C:</t>
  </si>
  <si>
    <t>District Superintendent:</t>
  </si>
  <si>
    <t>Pastor:</t>
  </si>
  <si>
    <t>Address:</t>
  </si>
  <si>
    <t xml:space="preserve">A.  PARSONAGE – Church Provided Housing </t>
  </si>
  <si>
    <t>Church/Housing Exclusion Amount:</t>
  </si>
  <si>
    <t>Church A:</t>
  </si>
  <si>
    <t>Church B:</t>
  </si>
  <si>
    <t>Church C:</t>
  </si>
  <si>
    <t>B.  NO PARSONAGE – Minister Provided Housing</t>
  </si>
  <si>
    <t>Church/Housing Allowance Amount:</t>
  </si>
  <si>
    <t>A:</t>
  </si>
  <si>
    <t>B:</t>
  </si>
  <si>
    <t>C:</t>
  </si>
  <si>
    <t>Housing exclusion is meant to defray costs incurred by clergy which directly relates to providing a home for self and family including, as applicable, any and all of the following: rent, mortgage payments and interest, furnishings, insurance, real estate taxes, utilities, maintenance and upkeep, and any other expenses directly associated with the provision of housing. Allowable expenses do not include personal items such as food, clothing, entertainment, and domestic help.</t>
  </si>
  <si>
    <t>The IRS rule of limitation on this benefit is the lesser amount of 1) the amount of the housing exclusion resolution as herein designated; 2) The amount actually spent for the provision of housing; or 3) The fair market rental value of the home or parsonage plus all other related expenses in the particular neighborhood of the residence in question.</t>
  </si>
  <si>
    <t xml:space="preserve">This resolution sets a “not to exceed” amount for actual housing expenses that clergy may expend from salary and/or cash housing allowance. Only the actual expenses may be excluded from income. Clergy must keep careful records such as actual invoices which would substantiate the exclusion in an IRS audit. Clergy add the unexpended difference on his/her Form 1040. Those clergy who receive a cash housing allowance in lieu of a parsonage may set higher limits but must follow the above IRS rules. Note: Clergy must include fair market rental value of their housing when paying Self-Employment Tax (S.E.C.A.) of 15.3%. Distribute copies to: Pastor, District Superintendent, Church Treasurer(s). </t>
  </si>
  <si>
    <t xml:space="preserve">TYPE NAME BELOW TO SIGN. CHECK THE "I AGREE" BOX TO INDICATE APPROVAL BY THE APPROPRIATE BODY. </t>
  </si>
  <si>
    <t>Date approved at church conference</t>
  </si>
  <si>
    <t>District Superintendent</t>
  </si>
  <si>
    <t>Church Council Chair - CHURCH A</t>
  </si>
  <si>
    <t>Secretary of Church Conference - CHURCH A</t>
  </si>
  <si>
    <t>Church Council Chair - CHURCH B</t>
  </si>
  <si>
    <t>Secretary of Church Conference - CHURCH B</t>
  </si>
  <si>
    <t>Church Council Chair - CHURCH C</t>
  </si>
  <si>
    <t>Secretary of Church Conference - CHURCH C</t>
  </si>
  <si>
    <t>AF - Affiliate Member</t>
  </si>
  <si>
    <t>Full Time</t>
  </si>
  <si>
    <t>AM - Associate Member</t>
  </si>
  <si>
    <t>3/4</t>
  </si>
  <si>
    <t>CP - Coordinating Pastor</t>
  </si>
  <si>
    <t>1/2</t>
  </si>
  <si>
    <t>DM - Diaconal Minister</t>
  </si>
  <si>
    <t>1/4</t>
  </si>
  <si>
    <t>FD - Deacon Full Connection</t>
  </si>
  <si>
    <t>FE - Full Elder</t>
  </si>
  <si>
    <t>FL - Full Time Local Pastor</t>
  </si>
  <si>
    <t xml:space="preserve">OA - Associate Member Other Conf. </t>
  </si>
  <si>
    <t>OD - Deacon Member Other Conf.</t>
  </si>
  <si>
    <t xml:space="preserve">OE - Elder Other Conf. </t>
  </si>
  <si>
    <t xml:space="preserve">OF - Full Member Other Denom. </t>
  </si>
  <si>
    <t>OP - Provisional Member Other Conf.</t>
  </si>
  <si>
    <t>OR - Retired Elder Other Conf.</t>
  </si>
  <si>
    <t>PD - Provisional Deacon</t>
  </si>
  <si>
    <t>PE - Provisional Elder</t>
  </si>
  <si>
    <t>PL - Part Time Local Pastor</t>
  </si>
  <si>
    <t>RA - Retired Associate Member</t>
  </si>
  <si>
    <t>RD - Retired Deacon Full Connection</t>
  </si>
  <si>
    <t>RE - Retired Elder</t>
  </si>
  <si>
    <t>RL - Retired Local Pastor</t>
  </si>
  <si>
    <t xml:space="preserve">RO - Retired Full Member Other Denom. </t>
  </si>
  <si>
    <t>RP - Retired Provisional Member</t>
  </si>
  <si>
    <t>SP - Student Local Pastor</t>
  </si>
  <si>
    <t>LM - Certified Lay Minister</t>
  </si>
  <si>
    <t>SY - Supply Pastor</t>
  </si>
  <si>
    <t>equitable comp_grant</t>
  </si>
  <si>
    <t>salary supp_grant</t>
  </si>
  <si>
    <t>other_grant</t>
  </si>
  <si>
    <t>taxable_cash_allowance</t>
  </si>
  <si>
    <t>housing_allowance</t>
  </si>
  <si>
    <t>church_total_salary</t>
  </si>
  <si>
    <t>umpip</t>
  </si>
  <si>
    <t>403b _investment</t>
  </si>
  <si>
    <t>fsa</t>
  </si>
  <si>
    <t>hsa</t>
  </si>
  <si>
    <t>housing_exclusion</t>
  </si>
  <si>
    <t>total_tax_sheltered_salary</t>
  </si>
  <si>
    <t>church_expenses_not_included</t>
  </si>
  <si>
    <t>cash_paid_to_clergy</t>
  </si>
  <si>
    <t>total_federal_taxable_salary</t>
  </si>
  <si>
    <t>total_salary</t>
  </si>
  <si>
    <t>parsonage_provided</t>
  </si>
  <si>
    <t>parsonage_value_pension</t>
  </si>
  <si>
    <t>serving_3/4 or 1/2 SP</t>
  </si>
  <si>
    <t>serving_DM</t>
  </si>
  <si>
    <t>serving_3/4 or 1/2 OF</t>
  </si>
  <si>
    <t>serving_1/2 AM</t>
  </si>
  <si>
    <t>serving_1/4 PL</t>
  </si>
  <si>
    <t>health_insurance_premium</t>
  </si>
  <si>
    <t>pension_plan_comp</t>
  </si>
  <si>
    <t>cpp</t>
  </si>
  <si>
    <t>umlife</t>
  </si>
  <si>
    <t>non-tax_benefits</t>
  </si>
  <si>
    <t>total_benefit_costs</t>
  </si>
  <si>
    <t>travel_expense</t>
  </si>
  <si>
    <t>cont_ed_expense</t>
  </si>
  <si>
    <t>other_business_expense</t>
  </si>
  <si>
    <t>total_reimbursed_expense</t>
  </si>
  <si>
    <t>total_salary_benefits</t>
  </si>
  <si>
    <t>Church D:</t>
  </si>
  <si>
    <t>Church E:</t>
  </si>
  <si>
    <t>D:</t>
  </si>
  <si>
    <t>E:</t>
  </si>
  <si>
    <t>Eastern Pennsylvania Conference</t>
  </si>
  <si>
    <t>East</t>
  </si>
  <si>
    <t>North</t>
  </si>
  <si>
    <t>South</t>
  </si>
  <si>
    <t>West</t>
  </si>
  <si>
    <t>Static</t>
  </si>
  <si>
    <t>Increase</t>
  </si>
  <si>
    <t>Decrease</t>
  </si>
  <si>
    <t>Church Name</t>
  </si>
  <si>
    <t>Composite Rate</t>
  </si>
  <si>
    <t>ACKERMANVILLE</t>
  </si>
  <si>
    <t>185980</t>
  </si>
  <si>
    <t>AKRON MT ZION</t>
  </si>
  <si>
    <t>185136</t>
  </si>
  <si>
    <t>ALLENTOWN: CASA DEL REY</t>
  </si>
  <si>
    <t>186040</t>
  </si>
  <si>
    <t>ALLENTOWN: EMMANUEL</t>
  </si>
  <si>
    <t>186027</t>
  </si>
  <si>
    <t>AMBLER CALVARY</t>
  </si>
  <si>
    <t>062263</t>
  </si>
  <si>
    <t>ANALOMINK</t>
  </si>
  <si>
    <t>060220</t>
  </si>
  <si>
    <t>ANNVILLE</t>
  </si>
  <si>
    <t>186483</t>
  </si>
  <si>
    <t>ANNVILLE KAUFFMANS</t>
  </si>
  <si>
    <t>187215</t>
  </si>
  <si>
    <t>ARCH STREET</t>
  </si>
  <si>
    <t>064967</t>
  </si>
  <si>
    <t>ARDMORE</t>
  </si>
  <si>
    <t>065803</t>
  </si>
  <si>
    <t>ARISTES ZION</t>
  </si>
  <si>
    <t>187157</t>
  </si>
  <si>
    <t>ASBURY ALLENTOWN</t>
  </si>
  <si>
    <t>060207</t>
  </si>
  <si>
    <t>ASH GROVE</t>
  </si>
  <si>
    <t>187283</t>
  </si>
  <si>
    <t>ASHLAND FIRST</t>
  </si>
  <si>
    <t>179306</t>
  </si>
  <si>
    <t>AUDENRIED-JEANSVILLE</t>
  </si>
  <si>
    <t>179842</t>
  </si>
  <si>
    <t>BAINBRIDGE LUDWIG</t>
  </si>
  <si>
    <t>064023</t>
  </si>
  <si>
    <t>BANGOR FIRST</t>
  </si>
  <si>
    <t>060264</t>
  </si>
  <si>
    <t>BARNESVILLE BETHANY</t>
  </si>
  <si>
    <t>185147</t>
  </si>
  <si>
    <t>BELFAST WESLEY</t>
  </si>
  <si>
    <t>060286</t>
  </si>
  <si>
    <t>BELLEGROVE</t>
  </si>
  <si>
    <t>187204</t>
  </si>
  <si>
    <t>BENSALEM</t>
  </si>
  <si>
    <t>060300</t>
  </si>
  <si>
    <t>BENSALEM KOREAN</t>
  </si>
  <si>
    <t>060914</t>
  </si>
  <si>
    <t>BERNE SALEM-BERNE</t>
  </si>
  <si>
    <t>185854</t>
  </si>
  <si>
    <t>BERRY LONG MEMORIAL</t>
  </si>
  <si>
    <t>064980</t>
  </si>
  <si>
    <t>BERWYN</t>
  </si>
  <si>
    <t>065882</t>
  </si>
  <si>
    <t>BETHANY LEBANON</t>
  </si>
  <si>
    <t>186951</t>
  </si>
  <si>
    <t>BETHANY PALMYRA</t>
  </si>
  <si>
    <t>187250</t>
  </si>
  <si>
    <t>BETHEL CHESTER CO</t>
  </si>
  <si>
    <t>062308</t>
  </si>
  <si>
    <t>BETHEL HILL</t>
  </si>
  <si>
    <t>062321</t>
  </si>
  <si>
    <t>BETHESDA</t>
  </si>
  <si>
    <t>064876</t>
  </si>
  <si>
    <t>BETHESDA PHILADELPHIA</t>
  </si>
  <si>
    <t>061166</t>
  </si>
  <si>
    <t>BICKLEYS NEW BEGINNING</t>
  </si>
  <si>
    <t>061111</t>
  </si>
  <si>
    <t>BIRD-IN-HAND</t>
  </si>
  <si>
    <t>065905</t>
  </si>
  <si>
    <t>BIRDSBORO CHRIST</t>
  </si>
  <si>
    <t>185160</t>
  </si>
  <si>
    <t>BLACK CREEK</t>
  </si>
  <si>
    <t>179534</t>
  </si>
  <si>
    <t>BLAKESLEE</t>
  </si>
  <si>
    <t>061736</t>
  </si>
  <si>
    <t>BOOTHS CORNERS SILOAM</t>
  </si>
  <si>
    <t>065368</t>
  </si>
  <si>
    <t>BOWMANSTOWN FAITH ALIVE</t>
  </si>
  <si>
    <t>185240</t>
  </si>
  <si>
    <t>BRIDESBURG</t>
  </si>
  <si>
    <t>061202</t>
  </si>
  <si>
    <t>BRISTOL FIRST</t>
  </si>
  <si>
    <t>060366</t>
  </si>
  <si>
    <t>BRISTOL HARRIMAN</t>
  </si>
  <si>
    <t>060388</t>
  </si>
  <si>
    <t>BROOMALL CHRIST</t>
  </si>
  <si>
    <t>186095</t>
  </si>
  <si>
    <t>BROOMALL ST MARKS</t>
  </si>
  <si>
    <t>064045</t>
  </si>
  <si>
    <t>BROWNSTOWN EMMANUEL</t>
  </si>
  <si>
    <t>185171</t>
  </si>
  <si>
    <t>BRUNNERVILLE</t>
  </si>
  <si>
    <t>185193</t>
  </si>
  <si>
    <t>BRYN MAWR ST LUKE</t>
  </si>
  <si>
    <t>065940</t>
  </si>
  <si>
    <t>BUSHKILL</t>
  </si>
  <si>
    <t>060402</t>
  </si>
  <si>
    <t>CAMPBELLTOWN</t>
  </si>
  <si>
    <t>186530</t>
  </si>
  <si>
    <t>CAMPHOR MEMORIAL</t>
  </si>
  <si>
    <t>962753</t>
  </si>
  <si>
    <t>CANADENSIS</t>
  </si>
  <si>
    <t>060424</t>
  </si>
  <si>
    <t>CEDARVILLE</t>
  </si>
  <si>
    <t>062365</t>
  </si>
  <si>
    <t>CHALFONT</t>
  </si>
  <si>
    <t>062387</t>
  </si>
  <si>
    <t>CHAPMAN QUARRIES</t>
  </si>
  <si>
    <t>060468</t>
  </si>
  <si>
    <t>CHARLESTOWN</t>
  </si>
  <si>
    <t>065962</t>
  </si>
  <si>
    <t>CHATHAM</t>
  </si>
  <si>
    <t>064080</t>
  </si>
  <si>
    <t>CHERRY LANE</t>
  </si>
  <si>
    <t>060218</t>
  </si>
  <si>
    <t>CHERRY VALLEY</t>
  </si>
  <si>
    <t>060504</t>
  </si>
  <si>
    <t>CHESTNUT HILL</t>
  </si>
  <si>
    <t>062866</t>
  </si>
  <si>
    <t>CHIQUES</t>
  </si>
  <si>
    <t>066740</t>
  </si>
  <si>
    <t>CHRIST EASTON</t>
  </si>
  <si>
    <t>060685</t>
  </si>
  <si>
    <t>CHRIST LANCASTER</t>
  </si>
  <si>
    <t>066421</t>
  </si>
  <si>
    <t>CHRISTIANA</t>
  </si>
  <si>
    <t>065984</t>
  </si>
  <si>
    <t>CHURCH OF THE GOOD SHEPHERD - Leb.</t>
  </si>
  <si>
    <t>186962</t>
  </si>
  <si>
    <t>CHURCH OF THE GOOD SHEPHERD - Phila.</t>
  </si>
  <si>
    <t>061235</t>
  </si>
  <si>
    <t>CHURCH OF THE REDEEMER</t>
  </si>
  <si>
    <t>061246</t>
  </si>
  <si>
    <t>CHURCHTOWN</t>
  </si>
  <si>
    <t>066000</t>
  </si>
  <si>
    <t>CLARKS GROVE</t>
  </si>
  <si>
    <t>187294</t>
  </si>
  <si>
    <t>CLEARFIELD</t>
  </si>
  <si>
    <t>064205</t>
  </si>
  <si>
    <t>CLEARVIEW</t>
  </si>
  <si>
    <t>065027</t>
  </si>
  <si>
    <t>CLEONA IMMANUEL</t>
  </si>
  <si>
    <t>186585</t>
  </si>
  <si>
    <t>CLIFTON HEIGHTS</t>
  </si>
  <si>
    <t>064227</t>
  </si>
  <si>
    <t>COALDALE</t>
  </si>
  <si>
    <t>185898</t>
  </si>
  <si>
    <t>COATESVILLE OLIVET</t>
  </si>
  <si>
    <t>066022</t>
  </si>
  <si>
    <t>COCHRANVILLE</t>
  </si>
  <si>
    <t>064240</t>
  </si>
  <si>
    <t>COLEMANVILLE</t>
  </si>
  <si>
    <t>065313</t>
  </si>
  <si>
    <t>COLUMBIA</t>
  </si>
  <si>
    <t>064307</t>
  </si>
  <si>
    <t>COMMUNITY LANCASTER</t>
  </si>
  <si>
    <t>185386</t>
  </si>
  <si>
    <t>CONESTOGA</t>
  </si>
  <si>
    <t>065335</t>
  </si>
  <si>
    <t>CONSHOHOCKEN</t>
  </si>
  <si>
    <t>062401</t>
  </si>
  <si>
    <t>CONYNGHAM</t>
  </si>
  <si>
    <t>179523</t>
  </si>
  <si>
    <t>CORNWALL</t>
  </si>
  <si>
    <t>066044</t>
  </si>
  <si>
    <t>CORNWELLS HEIGHTS</t>
  </si>
  <si>
    <t>060526</t>
  </si>
  <si>
    <t>COVENANT LANCASTER</t>
  </si>
  <si>
    <t>185397</t>
  </si>
  <si>
    <t>COVENANT LEBANON</t>
  </si>
  <si>
    <t>187011</t>
  </si>
  <si>
    <t>COVENTRYVILLE</t>
  </si>
  <si>
    <t>066066</t>
  </si>
  <si>
    <t>CRESCENTVILLE</t>
  </si>
  <si>
    <t>186302</t>
  </si>
  <si>
    <t>CROYDON WILKINSON MEML</t>
  </si>
  <si>
    <t>060548</t>
  </si>
  <si>
    <t>CUMBOLA</t>
  </si>
  <si>
    <t>062445</t>
  </si>
  <si>
    <t>DANIELSVILLE SALEM</t>
  </si>
  <si>
    <t>185238</t>
  </si>
  <si>
    <t>DARBY MOUNT ZION</t>
  </si>
  <si>
    <t>064342</t>
  </si>
  <si>
    <t>DARBY UNION MEMORIAL</t>
  </si>
  <si>
    <t>963804</t>
  </si>
  <si>
    <t>DENVER TRINITY</t>
  </si>
  <si>
    <t>185251</t>
  </si>
  <si>
    <t>DEVEREUX MEMORIAL</t>
  </si>
  <si>
    <t>066944</t>
  </si>
  <si>
    <t>DONALDSON</t>
  </si>
  <si>
    <t>067414</t>
  </si>
  <si>
    <t>DOUGLASSVILLE HOPE</t>
  </si>
  <si>
    <t>063462</t>
  </si>
  <si>
    <t>DOWNINGTOWN</t>
  </si>
  <si>
    <t>066102</t>
  </si>
  <si>
    <t>DOYLESTOWN</t>
  </si>
  <si>
    <t>060583</t>
  </si>
  <si>
    <t>DREHERSVILLE SALEM</t>
  </si>
  <si>
    <t>185774</t>
  </si>
  <si>
    <t>DREXEL HILL</t>
  </si>
  <si>
    <t>064364</t>
  </si>
  <si>
    <t xml:space="preserve">Drexel Hill: New Life </t>
  </si>
  <si>
    <t>065426</t>
  </si>
  <si>
    <t>DRUMS ST PAULS</t>
  </si>
  <si>
    <t>179556</t>
  </si>
  <si>
    <t>EAST BANGOR</t>
  </si>
  <si>
    <t>060606</t>
  </si>
  <si>
    <t>EAST STROUDSBURG</t>
  </si>
  <si>
    <t>060708</t>
  </si>
  <si>
    <t>EASTWICK</t>
  </si>
  <si>
    <t>065038</t>
  </si>
  <si>
    <t>EBENEZER LEBANON</t>
  </si>
  <si>
    <t>186995</t>
  </si>
  <si>
    <t>EDDYSTONE</t>
  </si>
  <si>
    <t>064400</t>
  </si>
  <si>
    <t>EFFORT</t>
  </si>
  <si>
    <t>061838</t>
  </si>
  <si>
    <t>EL MESIAS</t>
  </si>
  <si>
    <t>063154</t>
  </si>
  <si>
    <t>ELAM</t>
  </si>
  <si>
    <t>064422</t>
  </si>
  <si>
    <t>ELIZABETHTOWN ST PAULS</t>
  </si>
  <si>
    <t>185262</t>
  </si>
  <si>
    <t>ELVERSON</t>
  </si>
  <si>
    <t>066124</t>
  </si>
  <si>
    <t>ELYSBURG</t>
  </si>
  <si>
    <t>179625</t>
  </si>
  <si>
    <t>EMERALD SAINT PETERS</t>
  </si>
  <si>
    <t>186448</t>
  </si>
  <si>
    <t>EMMANUEL PHILADELPHIA</t>
  </si>
  <si>
    <t>962775</t>
  </si>
  <si>
    <t>EPHRATA FIRST</t>
  </si>
  <si>
    <t>185273</t>
  </si>
  <si>
    <t>EPHRATA HOPE</t>
  </si>
  <si>
    <t>185284</t>
  </si>
  <si>
    <t>EPWORTH BETHLEHEM</t>
  </si>
  <si>
    <t>060275</t>
  </si>
  <si>
    <t>EVANGELICAL</t>
  </si>
  <si>
    <t>185581</t>
  </si>
  <si>
    <t>EVANSBURG</t>
  </si>
  <si>
    <t>062467</t>
  </si>
  <si>
    <t>EXTON</t>
  </si>
  <si>
    <t>061771</t>
  </si>
  <si>
    <t>FAIRLESS HILLS CHRIST</t>
  </si>
  <si>
    <t>186131</t>
  </si>
  <si>
    <t>FAIRLESS HILLS FIRST</t>
  </si>
  <si>
    <t>060743</t>
  </si>
  <si>
    <t>FAITH COMMUNITY</t>
  </si>
  <si>
    <t>185205</t>
  </si>
  <si>
    <t>FALLSINGTON</t>
  </si>
  <si>
    <t>060765</t>
  </si>
  <si>
    <t>FALMOUTH</t>
  </si>
  <si>
    <t>186871</t>
  </si>
  <si>
    <t>FIRST LANCASTER</t>
  </si>
  <si>
    <t>066443</t>
  </si>
  <si>
    <t>FIRST PALMYRA</t>
  </si>
  <si>
    <t>187261</t>
  </si>
  <si>
    <t>FIRST SHAMOKIN</t>
  </si>
  <si>
    <t>187410</t>
  </si>
  <si>
    <t>FLEETWOOD EMMANUEL</t>
  </si>
  <si>
    <t>185295</t>
  </si>
  <si>
    <t>FOX CHASE</t>
  </si>
  <si>
    <t>061304</t>
  </si>
  <si>
    <t>FRACKVILLE</t>
  </si>
  <si>
    <t>062480</t>
  </si>
  <si>
    <t>FRANKFORD MEMORIAL</t>
  </si>
  <si>
    <t>061348</t>
  </si>
  <si>
    <t>FREDERICKSBURG</t>
  </si>
  <si>
    <t>186940</t>
  </si>
  <si>
    <t>FREMONT UNION</t>
  </si>
  <si>
    <t>066352</t>
  </si>
  <si>
    <t>FRIENDSHIP</t>
  </si>
  <si>
    <t>064502</t>
  </si>
  <si>
    <t>FRITZ MEMORIAL</t>
  </si>
  <si>
    <t>060322</t>
  </si>
  <si>
    <t>GEIGERTOWN ST PAULS</t>
  </si>
  <si>
    <t>067301</t>
  </si>
  <si>
    <t>GEORGETOWN - MOUNT PLEASANT</t>
  </si>
  <si>
    <t>066168</t>
  </si>
  <si>
    <t>GERMANTOWN FIRST</t>
  </si>
  <si>
    <t>062981</t>
  </si>
  <si>
    <t>GILBERTON</t>
  </si>
  <si>
    <t>062503</t>
  </si>
  <si>
    <t>GIRARDVILLE</t>
  </si>
  <si>
    <t>062525</t>
  </si>
  <si>
    <t>GLEN MOORE</t>
  </si>
  <si>
    <t>066204</t>
  </si>
  <si>
    <t>GLOSSBRENNER</t>
  </si>
  <si>
    <t>185524</t>
  </si>
  <si>
    <t>GOODWILL</t>
  </si>
  <si>
    <t>066226</t>
  </si>
  <si>
    <t>GORDON SIMPSON</t>
  </si>
  <si>
    <t>179682</t>
  </si>
  <si>
    <t>GRACE PHILADELPHIA</t>
  </si>
  <si>
    <t>063085</t>
  </si>
  <si>
    <t>GRACE READING</t>
  </si>
  <si>
    <t>063542</t>
  </si>
  <si>
    <t>GRACE-COMMUNITY</t>
  </si>
  <si>
    <t>963770</t>
  </si>
  <si>
    <t>GRAVEL HILL</t>
  </si>
  <si>
    <t>187272</t>
  </si>
  <si>
    <t>GREEN HILL</t>
  </si>
  <si>
    <t>185876</t>
  </si>
  <si>
    <t>GREEN POND EASTON</t>
  </si>
  <si>
    <t>060628</t>
  </si>
  <si>
    <t>GROVE</t>
  </si>
  <si>
    <t>066248</t>
  </si>
  <si>
    <t>HAMBURG BETHANY</t>
  </si>
  <si>
    <t>062560</t>
  </si>
  <si>
    <t>HAMORTON</t>
  </si>
  <si>
    <t>064568</t>
  </si>
  <si>
    <t>HARMONY</t>
  </si>
  <si>
    <t>066283</t>
  </si>
  <si>
    <t>HATBORO LEHMAN MEML</t>
  </si>
  <si>
    <t>062582</t>
  </si>
  <si>
    <t>HAVEN PENIEL</t>
  </si>
  <si>
    <t>962800</t>
  </si>
  <si>
    <t>HEBRON LEBANON</t>
  </si>
  <si>
    <t>186973</t>
  </si>
  <si>
    <t>HELLERTOWN ST PAULS</t>
  </si>
  <si>
    <t>186142</t>
  </si>
  <si>
    <t>HEMPFIELD</t>
  </si>
  <si>
    <t>185318</t>
  </si>
  <si>
    <t>HIBERNIA</t>
  </si>
  <si>
    <t>066341</t>
  </si>
  <si>
    <t>HIGHVILLE</t>
  </si>
  <si>
    <t>185320</t>
  </si>
  <si>
    <t>HOLMESBURG</t>
  </si>
  <si>
    <t>061406</t>
  </si>
  <si>
    <t>HOLY CROSS READING &amp; CALVARY</t>
  </si>
  <si>
    <t>063564</t>
  </si>
  <si>
    <t>HONEY BROOK</t>
  </si>
  <si>
    <t>066363</t>
  </si>
  <si>
    <t>HOPE HAVERTOWN</t>
  </si>
  <si>
    <t>064706</t>
  </si>
  <si>
    <t>HOPELAND</t>
  </si>
  <si>
    <t>185331</t>
  </si>
  <si>
    <t>HOPEWELL</t>
  </si>
  <si>
    <t>066385</t>
  </si>
  <si>
    <t>HULMEVILLE NESHAMONY</t>
  </si>
  <si>
    <t>060787</t>
  </si>
  <si>
    <t>HUNTINGDON VALLEY</t>
  </si>
  <si>
    <t>060801</t>
  </si>
  <si>
    <t>INDIANTOWN GAP EMMANUEL</t>
  </si>
  <si>
    <t>186517</t>
  </si>
  <si>
    <t>INTERCOURSE</t>
  </si>
  <si>
    <t>185342</t>
  </si>
  <si>
    <t>IONA</t>
  </si>
  <si>
    <t>186927</t>
  </si>
  <si>
    <t>IRISH VALLEY</t>
  </si>
  <si>
    <t>179820</t>
  </si>
  <si>
    <t>IRONVILLE</t>
  </si>
  <si>
    <t>185364</t>
  </si>
  <si>
    <t>IVYLAND ST JOHNS</t>
  </si>
  <si>
    <t>060721</t>
  </si>
  <si>
    <t>JANES MEMORIAL</t>
  </si>
  <si>
    <t>962797</t>
  </si>
  <si>
    <t>JARRETTOWN</t>
  </si>
  <si>
    <t>062638</t>
  </si>
  <si>
    <t>JENKINTOWN</t>
  </si>
  <si>
    <t>062627</t>
  </si>
  <si>
    <t>JIM THORPE GRACE-ST PAULS</t>
  </si>
  <si>
    <t>060823</t>
  </si>
  <si>
    <t>JOHNSON MEMORIAL</t>
  </si>
  <si>
    <t>061428</t>
  </si>
  <si>
    <t>JOLIETT-FIRST</t>
  </si>
  <si>
    <t>067436</t>
  </si>
  <si>
    <t>JONESTOWN</t>
  </si>
  <si>
    <t>186938</t>
  </si>
  <si>
    <t>KEMBLESVILLE</t>
  </si>
  <si>
    <t>064581</t>
  </si>
  <si>
    <t>KLEINFELTERSVILLE TRINITY</t>
  </si>
  <si>
    <t>187408</t>
  </si>
  <si>
    <t>KOCHENDERFERS</t>
  </si>
  <si>
    <t>186984</t>
  </si>
  <si>
    <t>KOREAN CHURCH</t>
  </si>
  <si>
    <t>186084</t>
  </si>
  <si>
    <t>KULPMONT</t>
  </si>
  <si>
    <t>179864</t>
  </si>
  <si>
    <t>LAFAYETTE HILL MESSIAH</t>
  </si>
  <si>
    <t>062285</t>
  </si>
  <si>
    <t>LAHASKA</t>
  </si>
  <si>
    <t>060845</t>
  </si>
  <si>
    <t>LAMPETER</t>
  </si>
  <si>
    <t>065450</t>
  </si>
  <si>
    <t>Lancaster: Nueva Creacion</t>
  </si>
  <si>
    <t>060105</t>
  </si>
  <si>
    <t>LANDENBERG</t>
  </si>
  <si>
    <t>064604</t>
  </si>
  <si>
    <t>LANDINGVILLE WELCOME</t>
  </si>
  <si>
    <t>171141</t>
  </si>
  <si>
    <t>LANGHORNE</t>
  </si>
  <si>
    <t>060867</t>
  </si>
  <si>
    <t>LANSDALE CHRIST</t>
  </si>
  <si>
    <t>186472</t>
  </si>
  <si>
    <t>LANSDALE FIRST</t>
  </si>
  <si>
    <t>062640</t>
  </si>
  <si>
    <t>LANSDOWNE TRINITY</t>
  </si>
  <si>
    <t>064626</t>
  </si>
  <si>
    <t>LATTIMER</t>
  </si>
  <si>
    <t>179636</t>
  </si>
  <si>
    <t>LEHIGHTON EBENEZER</t>
  </si>
  <si>
    <t>185433</t>
  </si>
  <si>
    <t>LEOLA</t>
  </si>
  <si>
    <t>066567</t>
  </si>
  <si>
    <t>LEVITTOWN EMILIE</t>
  </si>
  <si>
    <t>060925</t>
  </si>
  <si>
    <t>LEWISTOWN VALLEY: CALVARY EVANGELICAL</t>
  </si>
  <si>
    <t>185785</t>
  </si>
  <si>
    <t>LICKDALE TRINITY</t>
  </si>
  <si>
    <t>186528</t>
  </si>
  <si>
    <t>LIGHTHOUSE FELLOWSHIP</t>
  </si>
  <si>
    <t>062547</t>
  </si>
  <si>
    <t>LIGHTHOUSE KOREAN NEW CHURCH</t>
  </si>
  <si>
    <t>061678</t>
  </si>
  <si>
    <t>LIMA</t>
  </si>
  <si>
    <t>064648</t>
  </si>
  <si>
    <t>LINCOLN PARK COMMUNITY</t>
  </si>
  <si>
    <t>185455</t>
  </si>
  <si>
    <t>LINWOOD HEIGHTS</t>
  </si>
  <si>
    <t>064661</t>
  </si>
  <si>
    <t>LITITZ</t>
  </si>
  <si>
    <t>185466</t>
  </si>
  <si>
    <t>LLEWELLYN</t>
  </si>
  <si>
    <t>062662</t>
  </si>
  <si>
    <t>MAHANOY CITY</t>
  </si>
  <si>
    <t>062684</t>
  </si>
  <si>
    <t>MANHEIM RUHLS</t>
  </si>
  <si>
    <t>185752</t>
  </si>
  <si>
    <t>MANHEIM SALEM</t>
  </si>
  <si>
    <t>185477</t>
  </si>
  <si>
    <t>MANHEIM TOWNSHIP FAITH</t>
  </si>
  <si>
    <t>185353</t>
  </si>
  <si>
    <t>MARCUS HOOK COKESBURY</t>
  </si>
  <si>
    <t>064728</t>
  </si>
  <si>
    <t>MARSHALLTON</t>
  </si>
  <si>
    <t>064763</t>
  </si>
  <si>
    <t>MARTICVILLE</t>
  </si>
  <si>
    <t>064785</t>
  </si>
  <si>
    <t>MCMICHAELS</t>
  </si>
  <si>
    <t>061851</t>
  </si>
  <si>
    <t>MEDIA FIRST</t>
  </si>
  <si>
    <t>064808</t>
  </si>
  <si>
    <t>MIDDLETOWN CHRIST</t>
  </si>
  <si>
    <t>064160</t>
  </si>
  <si>
    <t>MID-TOWN PARISH</t>
  </si>
  <si>
    <t>063280</t>
  </si>
  <si>
    <t>MILLERS CROSSROADS</t>
  </si>
  <si>
    <t>180293</t>
  </si>
  <si>
    <t>MILLERSVILLE COMMUNITY</t>
  </si>
  <si>
    <t>185502</t>
  </si>
  <si>
    <t>MILTON GROVE</t>
  </si>
  <si>
    <t>187135</t>
  </si>
  <si>
    <t>MINERSVILLE</t>
  </si>
  <si>
    <t>062707</t>
  </si>
  <si>
    <t>MOHNTON CALVARY</t>
  </si>
  <si>
    <t>185513</t>
  </si>
  <si>
    <t>MONT CLARE OTTERBEIN</t>
  </si>
  <si>
    <t>186222</t>
  </si>
  <si>
    <t>MONTGOMERY SQUARE</t>
  </si>
  <si>
    <t>062720</t>
  </si>
  <si>
    <t>MOORE TOWNSHIP COVENANT</t>
  </si>
  <si>
    <t>186062</t>
  </si>
  <si>
    <t>MORRISVILLE</t>
  </si>
  <si>
    <t>060982</t>
  </si>
  <si>
    <t>MOTHER AFRICAN ZOAR</t>
  </si>
  <si>
    <t>962877</t>
  </si>
  <si>
    <t>MOUNT CARMEL FIRST</t>
  </si>
  <si>
    <t>180065</t>
  </si>
  <si>
    <t>MOUNT GRETNA</t>
  </si>
  <si>
    <t>187181</t>
  </si>
  <si>
    <t>MOUNT HOPE</t>
  </si>
  <si>
    <t>064843</t>
  </si>
  <si>
    <t>MOUNT NEBO</t>
  </si>
  <si>
    <t>065073</t>
  </si>
  <si>
    <t>MOUNT POCONO</t>
  </si>
  <si>
    <t>061020</t>
  </si>
  <si>
    <t>MOUNT ZION PHIL</t>
  </si>
  <si>
    <t>962822</t>
  </si>
  <si>
    <t>MOUNTAINHOME</t>
  </si>
  <si>
    <t>061007</t>
  </si>
  <si>
    <t>MOUNTVILLE LEBANON COUNTY</t>
  </si>
  <si>
    <t>171265</t>
  </si>
  <si>
    <t>MOUNTVILLE ST PAULS</t>
  </si>
  <si>
    <t>185546</t>
  </si>
  <si>
    <t>MYERSTOWN ZION</t>
  </si>
  <si>
    <t>187192</t>
  </si>
  <si>
    <t>NANTMEAL</t>
  </si>
  <si>
    <t>066784</t>
  </si>
  <si>
    <t>NARVON MT ZION</t>
  </si>
  <si>
    <t>185661</t>
  </si>
  <si>
    <t>NEFFSVILLE LONG MEMORIAL</t>
  </si>
  <si>
    <t>185557</t>
  </si>
  <si>
    <t>NEOLA</t>
  </si>
  <si>
    <t>060537</t>
  </si>
  <si>
    <t>NESQUEHONING MEEDS MEML</t>
  </si>
  <si>
    <t>061042</t>
  </si>
  <si>
    <t>NEW BERLINVILLE SAINT ANDREW</t>
  </si>
  <si>
    <t>062354</t>
  </si>
  <si>
    <t>NEW HOLLAND</t>
  </si>
  <si>
    <t>066820</t>
  </si>
  <si>
    <t>NEW LONDON</t>
  </si>
  <si>
    <t>064901</t>
  </si>
  <si>
    <t>NEW RINGGOLD ZION</t>
  </si>
  <si>
    <t>185796</t>
  </si>
  <si>
    <t>061086</t>
  </si>
  <si>
    <t>185592</t>
  </si>
  <si>
    <t>NORRISTOWN HAWS AVENUE</t>
  </si>
  <si>
    <t>062800</t>
  </si>
  <si>
    <t>NORTH WALES SANCTUARY</t>
  </si>
  <si>
    <t>062822</t>
  </si>
  <si>
    <t>NORTHSTAR</t>
  </si>
  <si>
    <t>061634</t>
  </si>
  <si>
    <t>NORWOOD</t>
  </si>
  <si>
    <t>064923</t>
  </si>
  <si>
    <t>NUREMBERG BETHANY</t>
  </si>
  <si>
    <t>183924</t>
  </si>
  <si>
    <t>OAK GROVE</t>
  </si>
  <si>
    <t>179614</t>
  </si>
  <si>
    <t>ONO</t>
  </si>
  <si>
    <t>171323</t>
  </si>
  <si>
    <t>OREGON</t>
  </si>
  <si>
    <t>185568</t>
  </si>
  <si>
    <t>ORWIGSBURG SALEM</t>
  </si>
  <si>
    <t>185604</t>
  </si>
  <si>
    <t>OTTERBEIN LANCASTER</t>
  </si>
  <si>
    <t>185400</t>
  </si>
  <si>
    <t>OXFORD</t>
  </si>
  <si>
    <t>064945</t>
  </si>
  <si>
    <t>PALMERTON SALEM</t>
  </si>
  <si>
    <t>186255</t>
  </si>
  <si>
    <t>PAOLI</t>
  </si>
  <si>
    <t>066842</t>
  </si>
  <si>
    <t>PARADISE ST JOHNS</t>
  </si>
  <si>
    <t>185626</t>
  </si>
  <si>
    <t>PARADISE VALLEY KEOKEE CHAPEL</t>
  </si>
  <si>
    <t>185637</t>
  </si>
  <si>
    <t>PARKESBURG</t>
  </si>
  <si>
    <t>066864</t>
  </si>
  <si>
    <t>PEACH BOTTOM MOUNT ZION</t>
  </si>
  <si>
    <t>064535</t>
  </si>
  <si>
    <t>PEARL STREET</t>
  </si>
  <si>
    <t>185411</t>
  </si>
  <si>
    <t>PEN ARGYL GRACE</t>
  </si>
  <si>
    <t>061122</t>
  </si>
  <si>
    <t>PENNS PARK</t>
  </si>
  <si>
    <t>061144</t>
  </si>
  <si>
    <t>PHILA.: TRINITY</t>
  </si>
  <si>
    <t>962855</t>
  </si>
  <si>
    <t xml:space="preserve">PHILA: SERVANTS OF CHRIST </t>
  </si>
  <si>
    <t>060162</t>
  </si>
  <si>
    <t xml:space="preserve">Phila: St. James </t>
  </si>
  <si>
    <t>061565</t>
  </si>
  <si>
    <t>PHOENIXVILLE FIRST</t>
  </si>
  <si>
    <t>063405</t>
  </si>
  <si>
    <t>PINE GROVE ST PAULS</t>
  </si>
  <si>
    <t>187330</t>
  </si>
  <si>
    <t>PIPERSVILLE ROLLING HILLS</t>
  </si>
  <si>
    <t>060652</t>
  </si>
  <si>
    <t>PLEASANT GROVE</t>
  </si>
  <si>
    <t>064557</t>
  </si>
  <si>
    <t>POCONO LAKE</t>
  </si>
  <si>
    <t>061725</t>
  </si>
  <si>
    <t>POMEROY</t>
  </si>
  <si>
    <t>067243</t>
  </si>
  <si>
    <t>POPLAR VALLEY</t>
  </si>
  <si>
    <t>060550</t>
  </si>
  <si>
    <t>PORT CARBON FIRST</t>
  </si>
  <si>
    <t>063427</t>
  </si>
  <si>
    <t>PORT CARBON GRACE</t>
  </si>
  <si>
    <t>185615</t>
  </si>
  <si>
    <t>POTTSTOWN SALEM</t>
  </si>
  <si>
    <t>186392</t>
  </si>
  <si>
    <t>POTTSVILLE EVANGELICAL</t>
  </si>
  <si>
    <t>185672</t>
  </si>
  <si>
    <t>POTTSVILLE FIRST</t>
  </si>
  <si>
    <t>063484</t>
  </si>
  <si>
    <t>PROSPECT PARK PROSPECT</t>
  </si>
  <si>
    <t>065244</t>
  </si>
  <si>
    <t>PROSPECTVILLE FIRST KOREAN</t>
  </si>
  <si>
    <t>062855</t>
  </si>
  <si>
    <t>QUAKAKE EBENEZER</t>
  </si>
  <si>
    <t>185158</t>
  </si>
  <si>
    <t>QUAKERTOWN</t>
  </si>
  <si>
    <t>063507</t>
  </si>
  <si>
    <t>QUARRYVILLE MEMORIAL</t>
  </si>
  <si>
    <t>065266</t>
  </si>
  <si>
    <t>RANCKS</t>
  </si>
  <si>
    <t>185683</t>
  </si>
  <si>
    <t>RAWLINSVILLE</t>
  </si>
  <si>
    <t>064898</t>
  </si>
  <si>
    <t>REEDERS</t>
  </si>
  <si>
    <t>061873</t>
  </si>
  <si>
    <t>REYNOLDS ZION</t>
  </si>
  <si>
    <t>185808</t>
  </si>
  <si>
    <t>RICHMOND</t>
  </si>
  <si>
    <t>061782</t>
  </si>
  <si>
    <t>RIDLEY PARK</t>
  </si>
  <si>
    <t>065288</t>
  </si>
  <si>
    <t>RINGTOWN AURAND MEMORIAL</t>
  </si>
  <si>
    <t>183913</t>
  </si>
  <si>
    <t>ROCHERTY</t>
  </si>
  <si>
    <t>187352</t>
  </si>
  <si>
    <t>ROMANSVILLE</t>
  </si>
  <si>
    <t>065302</t>
  </si>
  <si>
    <t>ROSS STREET</t>
  </si>
  <si>
    <t>066501</t>
  </si>
  <si>
    <t>ROTHSVILLE SALEM</t>
  </si>
  <si>
    <t>185182</t>
  </si>
  <si>
    <t>ROXBOROUGH GREEN LANE</t>
  </si>
  <si>
    <t>067083</t>
  </si>
  <si>
    <t>ROXBOROUGH RIDGE AVENUE</t>
  </si>
  <si>
    <t>067106</t>
  </si>
  <si>
    <t>ROYERSFORD</t>
  </si>
  <si>
    <t>063644</t>
  </si>
  <si>
    <t>SAFE HARBOR</t>
  </si>
  <si>
    <t>065324</t>
  </si>
  <si>
    <t>SAINT CLAIR WADE</t>
  </si>
  <si>
    <t>063666</t>
  </si>
  <si>
    <t>SAINT GEORGES PHILADELPHIA</t>
  </si>
  <si>
    <t>065107</t>
  </si>
  <si>
    <t>SAINT MATTHEWS READING</t>
  </si>
  <si>
    <t>185730</t>
  </si>
  <si>
    <t>SAINT PHILIPS</t>
  </si>
  <si>
    <t>061587</t>
  </si>
  <si>
    <t>SAINT THOMAS PHILADELPHIA</t>
  </si>
  <si>
    <t>962786</t>
  </si>
  <si>
    <t>SAYERS MEMORIAL</t>
  </si>
  <si>
    <t>065142</t>
  </si>
  <si>
    <t>SAYLORSBURG ST PETERS</t>
  </si>
  <si>
    <t>185991</t>
  </si>
  <si>
    <t>SCHAEFFERSTOWN ZION</t>
  </si>
  <si>
    <t>187396</t>
  </si>
  <si>
    <t>SCHOENECK WIEST MEML</t>
  </si>
  <si>
    <t>185763</t>
  </si>
  <si>
    <t>SCHUYKILL HAVEN COVENANT</t>
  </si>
  <si>
    <t>185821</t>
  </si>
  <si>
    <t>SCHUYKILL HAVEN FIRST</t>
  </si>
  <si>
    <t>063688</t>
  </si>
  <si>
    <t>SCOTTSVILLE</t>
  </si>
  <si>
    <t>061840</t>
  </si>
  <si>
    <t>SHAMOKIN EMMANUEL</t>
  </si>
  <si>
    <t>187432</t>
  </si>
  <si>
    <t>SHOEMAKERSVILLE SALEM</t>
  </si>
  <si>
    <t>185843</t>
  </si>
  <si>
    <t>SIMPSON-FLETCHER</t>
  </si>
  <si>
    <t>067004</t>
  </si>
  <si>
    <t>SOLEBURY</t>
  </si>
  <si>
    <t>061064</t>
  </si>
  <si>
    <t>SOMERTON</t>
  </si>
  <si>
    <t>061623</t>
  </si>
  <si>
    <t>SPRINGFIELD COVENANT</t>
  </si>
  <si>
    <t>065404</t>
  </si>
  <si>
    <t>SPRINGTOWN SALEM</t>
  </si>
  <si>
    <t>186153</t>
  </si>
  <si>
    <t>ST DANIELS CHESTER</t>
  </si>
  <si>
    <t>963792</t>
  </si>
  <si>
    <t>ST JOHNS LEBANON</t>
  </si>
  <si>
    <t>187055</t>
  </si>
  <si>
    <t>ST JOHNS SHAMOKIN</t>
  </si>
  <si>
    <t>187421</t>
  </si>
  <si>
    <t>ST LUKES LEBANON</t>
  </si>
  <si>
    <t>187066</t>
  </si>
  <si>
    <t>ST MARKS MOUNT JOY</t>
  </si>
  <si>
    <t>185535</t>
  </si>
  <si>
    <t>ST PETERS MT CARMEL</t>
  </si>
  <si>
    <t>066727</t>
  </si>
  <si>
    <t>STEHMAN MEML</t>
  </si>
  <si>
    <t>185865</t>
  </si>
  <si>
    <t>STRASBURG WESLEY</t>
  </si>
  <si>
    <t>065448</t>
  </si>
  <si>
    <t>STROUDSBURG</t>
  </si>
  <si>
    <t>061884</t>
  </si>
  <si>
    <t>STROUDSBURG FAITH</t>
  </si>
  <si>
    <t>060242</t>
  </si>
  <si>
    <t>SUMMERFIELD-SILOAM</t>
  </si>
  <si>
    <t>063325</t>
  </si>
  <si>
    <t>SUMMIT HILL</t>
  </si>
  <si>
    <t>061907</t>
  </si>
  <si>
    <t>SWARTHMORE</t>
  </si>
  <si>
    <t>065461</t>
  </si>
  <si>
    <t>TAMAQUA FIRST</t>
  </si>
  <si>
    <t>063768</t>
  </si>
  <si>
    <t>TELFORD GRACE</t>
  </si>
  <si>
    <t>186450</t>
  </si>
  <si>
    <t>TEMPLE</t>
  </si>
  <si>
    <t>063781</t>
  </si>
  <si>
    <t>TERRE HILL ST PAULS</t>
  </si>
  <si>
    <t>185901</t>
  </si>
  <si>
    <t>THE BRIDGE</t>
  </si>
  <si>
    <t>060377</t>
  </si>
  <si>
    <t>THORNDALE</t>
  </si>
  <si>
    <t>067380</t>
  </si>
  <si>
    <t>THORNTON BETHLEHEM</t>
  </si>
  <si>
    <t>065483</t>
  </si>
  <si>
    <t>TINDLEY TEMPLE</t>
  </si>
  <si>
    <t>962866</t>
  </si>
  <si>
    <t>TOBYHANNA</t>
  </si>
  <si>
    <t>061964</t>
  </si>
  <si>
    <t>TRAINER TRINITY</t>
  </si>
  <si>
    <t>065506</t>
  </si>
  <si>
    <t>TREMONT SAINT JOHN</t>
  </si>
  <si>
    <t>187341</t>
  </si>
  <si>
    <t>TREVORTON</t>
  </si>
  <si>
    <t>180420</t>
  </si>
  <si>
    <t>TREVOSE ST MATTHEWS</t>
  </si>
  <si>
    <t>962651</t>
  </si>
  <si>
    <t>TRINITY LEBANON</t>
  </si>
  <si>
    <t>066545</t>
  </si>
  <si>
    <t>UNION HAVERTOWN</t>
  </si>
  <si>
    <t>065927</t>
  </si>
  <si>
    <t>UNIVERSITY CITY CALVARY</t>
  </si>
  <si>
    <t>065005</t>
  </si>
  <si>
    <t>VALLEY FORGE</t>
  </si>
  <si>
    <t>067447</t>
  </si>
  <si>
    <t>VALLEY FORGE SAINT MATTHEWS</t>
  </si>
  <si>
    <t>067141</t>
  </si>
  <si>
    <t>WARMINSTER SAINT ANDREWS</t>
  </si>
  <si>
    <t>186461</t>
  </si>
  <si>
    <t>WARRINGTON ST PAULS</t>
  </si>
  <si>
    <t>062764</t>
  </si>
  <si>
    <t>WASHINGTON BORO</t>
  </si>
  <si>
    <t>067460</t>
  </si>
  <si>
    <t>WASHINGTON CROSSING</t>
  </si>
  <si>
    <t>062024</t>
  </si>
  <si>
    <t>WAYNE</t>
  </si>
  <si>
    <t>067482</t>
  </si>
  <si>
    <t>WEATHERLY CENTENARY</t>
  </si>
  <si>
    <t>180464</t>
  </si>
  <si>
    <t>WESCOSVILLE BETHANY</t>
  </si>
  <si>
    <t>171106</t>
  </si>
  <si>
    <t>WESLEY BETHLEHEM</t>
  </si>
  <si>
    <t>060344</t>
  </si>
  <si>
    <t>WEST CHESTER</t>
  </si>
  <si>
    <t>065563</t>
  </si>
  <si>
    <t>WEST CHESTER EL BUEN SAMARITANO</t>
  </si>
  <si>
    <t>186005</t>
  </si>
  <si>
    <t>WEST GROVE</t>
  </si>
  <si>
    <t>065585</t>
  </si>
  <si>
    <t>WEST GROVE CRISTO REY</t>
  </si>
  <si>
    <t>064570</t>
  </si>
  <si>
    <t>WEST LAWN</t>
  </si>
  <si>
    <t>185945</t>
  </si>
  <si>
    <t>WEST WILLOW</t>
  </si>
  <si>
    <t>185956</t>
  </si>
  <si>
    <t>WHARTON-WESLEY</t>
  </si>
  <si>
    <t>962811</t>
  </si>
  <si>
    <t>WHITE HAVEN</t>
  </si>
  <si>
    <t>180486</t>
  </si>
  <si>
    <t>WILLISTOWN</t>
  </si>
  <si>
    <t>065552</t>
  </si>
  <si>
    <t>WILLOW GROVE</t>
  </si>
  <si>
    <t>063804</t>
  </si>
  <si>
    <t>WILLOW STREET BOEHMS</t>
  </si>
  <si>
    <t>065608</t>
  </si>
  <si>
    <t>WISSINOMING</t>
  </si>
  <si>
    <t>061703</t>
  </si>
  <si>
    <t>WOODDALE</t>
  </si>
  <si>
    <t>060253</t>
  </si>
  <si>
    <t>WOXALL TABOR</t>
  </si>
  <si>
    <t>186164</t>
  </si>
  <si>
    <t>YARDLEY</t>
  </si>
  <si>
    <t>062068</t>
  </si>
  <si>
    <t>ZIONSVILLE SALEM</t>
  </si>
  <si>
    <t>186200</t>
  </si>
  <si>
    <t>Salary Change Acknowledgment</t>
  </si>
  <si>
    <t>salary_change</t>
  </si>
  <si>
    <t>Select One - Dropdown</t>
  </si>
  <si>
    <t>Church Name - Dropdown</t>
  </si>
  <si>
    <t>Church Council Chair D:</t>
  </si>
  <si>
    <t>Church Council Chair E:</t>
  </si>
  <si>
    <t>SPRC Chair D:</t>
  </si>
  <si>
    <t>SPRC Chair E:</t>
  </si>
  <si>
    <t>Church Council Chair - CHURCH D</t>
  </si>
  <si>
    <t>Church Council Chair - CHURCH E</t>
  </si>
  <si>
    <t>Secretary of Church Conference - CHURCH D</t>
  </si>
  <si>
    <t>Secretary of Church Conference - CHURCH E</t>
  </si>
  <si>
    <t>DD/MM/YYYY</t>
  </si>
  <si>
    <t>Salary Change - Dropdown</t>
  </si>
  <si>
    <t>WHEREAS, it is the policy of the Eastern Pennsylvania of The United Methodist Church that Administrative Boards/Councils and Church Conferences annually designate in an official resolution a portion of the clergyperson’s compensation as housing allowance; and whereas, Section 107 of the Internal Revenue Code provides that the rental value of a home furnished to or by a minister of the gospel, or the amount of a cash housing or rental allowance paid to the minister is not included in his or her gross income reporting for income tax purposes.</t>
  </si>
  <si>
    <t>NEWTOWN, EAST DISTRICT</t>
  </si>
  <si>
    <t>NEWTOWN, WEST DISTRICT</t>
  </si>
  <si>
    <t xml:space="preserve">COMMISSION ON EQUITABLE COMPENSATION                                             </t>
  </si>
  <si>
    <t>Allowable Years with Service Increments</t>
  </si>
  <si>
    <t>Full Member (Elder/Deacon) plus housing</t>
  </si>
  <si>
    <t>Associate Members</t>
  </si>
  <si>
    <t>Full Time Local Pastor plus housing</t>
  </si>
  <si>
    <t>75% Local Pastor*</t>
  </si>
  <si>
    <t>50% Local Pastor*</t>
  </si>
  <si>
    <t>25% Local Pastor*</t>
  </si>
  <si>
    <t>Elders/Deacons/FTLP receive Housing or Parsonage</t>
  </si>
  <si>
    <t>*Less than FT LP are not guaranteed Housing or Parsonage and have no mandated minimums.  The figures to the left are  just a reference point for salary discussions</t>
  </si>
  <si>
    <t>Click here-return to Report</t>
  </si>
  <si>
    <t>SERVICE INCREMENTS = 1% PER YEAR</t>
  </si>
  <si>
    <t>SERVICE INCREMENTS INCLUDED IN TABLE ABOVE</t>
  </si>
  <si>
    <t>EPAUMC Equitable Compensation Grant</t>
  </si>
  <si>
    <t>EPAUMC Salary Supplement Grant</t>
  </si>
  <si>
    <t>EPAUMC Other Grant</t>
  </si>
  <si>
    <r>
      <rPr>
        <b/>
        <sz val="11"/>
        <color theme="1"/>
        <rFont val="Aptos Narrow"/>
        <family val="2"/>
        <scheme val="minor"/>
      </rPr>
      <t xml:space="preserve">Health Savings Account Contribution (HSA)
</t>
    </r>
    <r>
      <rPr>
        <sz val="10.5"/>
        <color theme="1"/>
        <rFont val="Aptos Narrow"/>
        <family val="2"/>
        <scheme val="minor"/>
      </rPr>
      <t>If enrolled in either the H2000, H2500, H5000, contributions may be made up to IRS limits $4,150 (single), $8,300 (family). Withheld from salary on</t>
    </r>
    <r>
      <rPr>
        <sz val="10.5"/>
        <color rgb="FFFF0000"/>
        <rFont val="Aptos Narrow"/>
        <family val="2"/>
        <scheme val="minor"/>
      </rPr>
      <t xml:space="preserve"> </t>
    </r>
    <r>
      <rPr>
        <sz val="10.5"/>
        <rFont val="Aptos Narrow"/>
        <family val="2"/>
        <scheme val="minor"/>
      </rPr>
      <t>line 7</t>
    </r>
    <r>
      <rPr>
        <sz val="10.5"/>
        <color theme="1"/>
        <rFont val="Aptos Narrow"/>
        <family val="2"/>
        <scheme val="minor"/>
      </rPr>
      <t xml:space="preserve">. Report in W-2 Box 12       </t>
    </r>
  </si>
  <si>
    <r>
      <rPr>
        <b/>
        <sz val="11"/>
        <color theme="1"/>
        <rFont val="Aptos Narrow"/>
        <family val="2"/>
        <scheme val="minor"/>
      </rPr>
      <t xml:space="preserve">Housing Exclusion
</t>
    </r>
    <r>
      <rPr>
        <sz val="10.5"/>
        <rFont val="Aptos Narrow"/>
        <family val="2"/>
        <scheme val="minor"/>
      </rPr>
      <t>Amount excluded from pastor's taxable income for costs directly related to providing a home. See instructions for more information/examples. Amount entered here will populate on the Housing Exclusion Resolution below in this report. Report in W-2 Box 14</t>
    </r>
  </si>
  <si>
    <r>
      <rPr>
        <b/>
        <sz val="11"/>
        <color theme="1"/>
        <rFont val="Aptos Narrow"/>
        <family val="2"/>
        <scheme val="minor"/>
      </rPr>
      <t xml:space="preserve">Health Insurance Premium for Conference Plan
</t>
    </r>
    <r>
      <rPr>
        <sz val="10.5"/>
        <rFont val="Aptos Narrow"/>
        <family val="2"/>
        <scheme val="minor"/>
      </rPr>
      <t>If you are enrolled in the EPA Healflex Plan copy the figure supplied under "Composite Rate" at the top of the page. If you have a multiple church appointment, please divide each church rate by the # of churches and calculate the sum.  If you are not enrolled, please leave this blank.</t>
    </r>
  </si>
  <si>
    <t>23a</t>
  </si>
  <si>
    <t>23b</t>
  </si>
  <si>
    <r>
      <rPr>
        <b/>
        <sz val="10.5"/>
        <rFont val="Aptos Narrow"/>
        <family val="2"/>
        <scheme val="minor"/>
      </rPr>
      <t>Clergy Retirement Security Program (CRSP- DB)</t>
    </r>
    <r>
      <rPr>
        <sz val="10.5"/>
        <rFont val="Aptos Narrow"/>
        <family val="2"/>
        <scheme val="minor"/>
      </rPr>
      <t xml:space="preserve">
CRSP is available for FT, 3/4, and 1/2 time clergy.
(FT-$6000; 3/4-$4500; 1/2-$3000; 1/4 (If part of a 1/2 to FR Appt) - $1500) </t>
    </r>
  </si>
  <si>
    <r>
      <rPr>
        <b/>
        <sz val="11"/>
        <rFont val="Aptos Narrow"/>
        <family val="2"/>
        <scheme val="minor"/>
      </rPr>
      <t xml:space="preserve">Clergy Retirement Security Program (CRSP - DC)
</t>
    </r>
    <r>
      <rPr>
        <sz val="10.5"/>
        <rFont val="Aptos Narrow"/>
        <family val="2"/>
        <scheme val="minor"/>
      </rPr>
      <t>CRSP is available for FT, 3/4, and 1/2 time clergy.
(Multiply</t>
    </r>
    <r>
      <rPr>
        <sz val="10.5"/>
        <color rgb="FFFF0000"/>
        <rFont val="Aptos Narrow"/>
        <family val="2"/>
        <scheme val="minor"/>
      </rPr>
      <t xml:space="preserve"> </t>
    </r>
    <r>
      <rPr>
        <sz val="10.5"/>
        <rFont val="Aptos Narrow"/>
        <family val="2"/>
        <scheme val="minor"/>
      </rPr>
      <t>line 22 by 3%)</t>
    </r>
    <r>
      <rPr>
        <sz val="10.5"/>
        <color rgb="FFFF0000"/>
        <rFont val="Aptos Narrow"/>
        <family val="2"/>
        <scheme val="minor"/>
      </rPr>
      <t xml:space="preserve"> </t>
    </r>
  </si>
  <si>
    <t>Total Reimbursed Business Expenses</t>
  </si>
  <si>
    <t>CLERGY HOUSING EXCLUSION RESOLUTION</t>
  </si>
  <si>
    <r>
      <t xml:space="preserve">THEREFORE, BE IT RESOLVED that the above named Pastor is provided the rent-free use of housing and the value of the housing is excluded from income tax under Section 107 (Line 19 of the Clergy Compensation Report should have an X). BE IT FURTHER RESOLVED that the Administrative Board/Council or Church Conference of the above named charge hereby designates the amount listed above (this figure matches Line 11 of the Clergy Compensation Report) for the date effective year as a </t>
    </r>
    <r>
      <rPr>
        <b/>
        <sz val="11"/>
        <color theme="1"/>
        <rFont val="Aptos Narrow"/>
        <family val="2"/>
        <scheme val="minor"/>
      </rPr>
      <t>housing exclusion</t>
    </r>
    <r>
      <rPr>
        <sz val="11"/>
        <color theme="1"/>
        <rFont val="Aptos Narrow"/>
        <family val="2"/>
        <scheme val="minor"/>
      </rPr>
      <t xml:space="preserve"> for this Pastor whose residence is located at the above address.</t>
    </r>
  </si>
  <si>
    <t>CLERGY COMPENSATION &amp; EXPENSE REPORT</t>
  </si>
  <si>
    <t>Appointment Status By Church</t>
  </si>
  <si>
    <t>appointment_status_church</t>
  </si>
  <si>
    <t>campus</t>
  </si>
  <si>
    <t>MINIMUM SALARY SCHEDULE</t>
  </si>
  <si>
    <r>
      <t xml:space="preserve">Church A </t>
    </r>
    <r>
      <rPr>
        <b/>
        <sz val="12"/>
        <color rgb="FFFF0000"/>
        <rFont val="Aptos Narrow"/>
        <family val="2"/>
        <scheme val="minor"/>
      </rPr>
      <t>(Required)</t>
    </r>
  </si>
  <si>
    <r>
      <t xml:space="preserve">Clergy Name: </t>
    </r>
    <r>
      <rPr>
        <b/>
        <sz val="12"/>
        <color rgb="FFFF0000"/>
        <rFont val="Aptos Narrow"/>
        <family val="2"/>
        <scheme val="minor"/>
      </rPr>
      <t>(Required)</t>
    </r>
  </si>
  <si>
    <r>
      <t xml:space="preserve">Date Effective: </t>
    </r>
    <r>
      <rPr>
        <b/>
        <sz val="12"/>
        <color rgb="FFFF0000"/>
        <rFont val="Aptos Narrow"/>
        <family val="2"/>
        <scheme val="minor"/>
      </rPr>
      <t>(Required)</t>
    </r>
  </si>
  <si>
    <r>
      <t xml:space="preserve">Full Appointment Status: </t>
    </r>
    <r>
      <rPr>
        <b/>
        <sz val="12"/>
        <color rgb="FFFF0000"/>
        <rFont val="Aptos Narrow"/>
        <family val="2"/>
        <scheme val="minor"/>
      </rPr>
      <t>(Required)</t>
    </r>
  </si>
  <si>
    <r>
      <t xml:space="preserve">District: </t>
    </r>
    <r>
      <rPr>
        <b/>
        <sz val="12"/>
        <color rgb="FFFF0000"/>
        <rFont val="Aptos Narrow"/>
        <family val="2"/>
        <scheme val="minor"/>
      </rPr>
      <t>(Required)</t>
    </r>
  </si>
  <si>
    <r>
      <t xml:space="preserve">Conference Relationship: </t>
    </r>
    <r>
      <rPr>
        <b/>
        <sz val="12"/>
        <color rgb="FFFF0000"/>
        <rFont val="Aptos Narrow"/>
        <family val="2"/>
        <scheme val="minor"/>
      </rPr>
      <t>(Required)</t>
    </r>
  </si>
  <si>
    <t>Church E           (If Applicable)</t>
  </si>
  <si>
    <t>Church B          (If Applicable)</t>
  </si>
  <si>
    <t>Church C          (If Applicable)</t>
  </si>
  <si>
    <t>Church D          (If Applicable)</t>
  </si>
  <si>
    <r>
      <rPr>
        <b/>
        <sz val="11"/>
        <rFont val="Aptos Narrow"/>
        <family val="2"/>
        <scheme val="minor"/>
      </rPr>
      <t xml:space="preserve">UM Personal Investment Plan (UMPIP)
</t>
    </r>
    <r>
      <rPr>
        <sz val="10.5"/>
        <rFont val="Aptos Narrow"/>
        <family val="2"/>
        <scheme val="minor"/>
      </rPr>
      <t xml:space="preserve">This is your personal contribution as a salary reduction.  You Must submit a new UMPIP election form with this Compensation Form.
</t>
    </r>
  </si>
  <si>
    <r>
      <rPr>
        <b/>
        <sz val="11"/>
        <rFont val="Aptos Narrow"/>
        <family val="2"/>
        <scheme val="minor"/>
      </rPr>
      <t xml:space="preserve">Comprehensive Protection Plan (CPP)
</t>
    </r>
    <r>
      <rPr>
        <sz val="10.5"/>
        <rFont val="Aptos Narrow"/>
        <family val="2"/>
        <scheme val="minor"/>
      </rPr>
      <t xml:space="preserve">Only available for FT. Not available for Retirees, PL or SP.
(Multiply line 22 by 3%)   </t>
    </r>
    <r>
      <rPr>
        <sz val="10.5"/>
        <color rgb="FFFF0000"/>
        <rFont val="Aptos Narrow"/>
        <family val="2"/>
        <scheme val="minor"/>
      </rPr>
      <t xml:space="preserve">                                                           </t>
    </r>
  </si>
  <si>
    <r>
      <rPr>
        <b/>
        <sz val="11"/>
        <rFont val="Aptos Narrow"/>
        <family val="2"/>
        <scheme val="minor"/>
      </rPr>
      <t>Mandatory Health Care</t>
    </r>
    <r>
      <rPr>
        <sz val="11"/>
        <rFont val="Aptos Narrow"/>
        <family val="2"/>
        <scheme val="minor"/>
      </rPr>
      <t xml:space="preserve">
This is life insurance, a stand alone Employee Assistance Plan and Virgin Pulse Plan. (Premium is $500 Total split between appointments based on covenant.)</t>
    </r>
  </si>
  <si>
    <r>
      <rPr>
        <b/>
        <sz val="11"/>
        <color theme="1"/>
        <rFont val="Aptos Narrow"/>
        <family val="2"/>
        <scheme val="minor"/>
      </rPr>
      <t xml:space="preserve">After Tax UM Personal Investment Plan (UMPIP)
</t>
    </r>
    <r>
      <rPr>
        <sz val="10.5"/>
        <color theme="1"/>
        <rFont val="Aptos Narrow"/>
        <family val="2"/>
        <scheme val="minor"/>
      </rPr>
      <t xml:space="preserve">If new employer or election, Contribution Election Form must also be completed. Withheld from salary shown on line 7.                                            
</t>
    </r>
  </si>
  <si>
    <r>
      <rPr>
        <b/>
        <sz val="11"/>
        <color theme="1"/>
        <rFont val="Aptos Narrow"/>
        <family val="2"/>
        <scheme val="minor"/>
      </rPr>
      <t xml:space="preserve">Tax-deferred Before Tax UM Personal Investment Plan (UMPIP)                                  </t>
    </r>
    <r>
      <rPr>
        <b/>
        <sz val="11"/>
        <color rgb="FFFF0000"/>
        <rFont val="Aptos Narrow"/>
        <family val="2"/>
        <scheme val="minor"/>
      </rPr>
      <t>Please enter a dollar amount.</t>
    </r>
    <r>
      <rPr>
        <b/>
        <sz val="11"/>
        <color theme="1"/>
        <rFont val="Aptos Narrow"/>
        <family val="2"/>
        <scheme val="minor"/>
      </rPr>
      <t xml:space="preserve">
</t>
    </r>
    <r>
      <rPr>
        <sz val="10.5"/>
        <color theme="1"/>
        <rFont val="Aptos Narrow"/>
        <family val="2"/>
        <scheme val="minor"/>
      </rPr>
      <t>If new employer or election, Contribution Election Form must also be completed. Withheld from salary shown on line 7.                                                                                                                                                                                     Report in W-2 Box 12, Code E</t>
    </r>
  </si>
  <si>
    <r>
      <t xml:space="preserve">THEREFORE, BE IT RESOLVED that in lieu of church-provided housing, the charge or church will pay annually a cash </t>
    </r>
    <r>
      <rPr>
        <b/>
        <sz val="12"/>
        <color theme="1"/>
        <rFont val="Aptos Narrow"/>
        <family val="2"/>
        <scheme val="minor"/>
      </rPr>
      <t>housing allowance</t>
    </r>
    <r>
      <rPr>
        <sz val="12"/>
        <color theme="1"/>
        <rFont val="Aptos Narrow"/>
        <family val="2"/>
        <scheme val="minor"/>
      </rPr>
      <t xml:space="preserve"> in the amount listed above (this figure matches Line 5 of the Clergy Compensation Report), in addition to salary, to provide housing for the minister and family. BE IT FURTHER RESOLVED that the Administrative Board/Council or Church Conference of the above named charge hereby designates the amount listed above (</t>
    </r>
    <r>
      <rPr>
        <u/>
        <sz val="12"/>
        <color theme="1"/>
        <rFont val="Aptos Narrow"/>
        <family val="2"/>
        <scheme val="minor"/>
      </rPr>
      <t>set high enough to include the cash housing allowance if provided</t>
    </r>
    <r>
      <rPr>
        <sz val="12"/>
        <color theme="1"/>
        <rFont val="Aptos Narrow"/>
        <family val="2"/>
        <scheme val="minor"/>
      </rPr>
      <t xml:space="preserve">; this figure matches Line 11 of the Clergy Compensation Report) for the date effective year as a </t>
    </r>
    <r>
      <rPr>
        <b/>
        <sz val="12"/>
        <color theme="1"/>
        <rFont val="Aptos Narrow"/>
        <family val="2"/>
        <scheme val="minor"/>
      </rPr>
      <t>housing</t>
    </r>
    <r>
      <rPr>
        <sz val="12"/>
        <color theme="1"/>
        <rFont val="Aptos Narrow"/>
        <family val="2"/>
        <scheme val="minor"/>
      </rPr>
      <t xml:space="preserve"> </t>
    </r>
    <r>
      <rPr>
        <b/>
        <sz val="12"/>
        <color theme="1"/>
        <rFont val="Aptos Narrow"/>
        <family val="2"/>
        <scheme val="minor"/>
      </rPr>
      <t>exclusion</t>
    </r>
    <r>
      <rPr>
        <sz val="12"/>
        <color theme="1"/>
        <rFont val="Aptos Narrow"/>
        <family val="2"/>
        <scheme val="minor"/>
      </rPr>
      <t xml:space="preserve"> for this Pastor, whose residence is located at the above address.</t>
    </r>
  </si>
  <si>
    <r>
      <rPr>
        <b/>
        <u/>
        <sz val="12"/>
        <color theme="1"/>
        <rFont val="Aptos Narrow"/>
        <family val="2"/>
        <scheme val="minor"/>
      </rPr>
      <t>Signatures:</t>
    </r>
    <r>
      <rPr>
        <sz val="12"/>
        <color theme="1"/>
        <rFont val="Aptos Narrow"/>
        <family val="2"/>
        <scheme val="minor"/>
      </rPr>
      <t xml:space="preserve"> The undersigned parties state that the information shown on this report is true and correct. This report does not constitute an employment agreement and/or benefit plan between the Eastern PA Annual Conference and the clergy identified herein, but is only a report of the clergy's compensation and benefits paid by the clergy's charge or employing unit to or for the benefit of the clergy.</t>
    </r>
  </si>
  <si>
    <r>
      <rPr>
        <b/>
        <sz val="11"/>
        <color rgb="FFFF0000"/>
        <rFont val="Aptos Narrow"/>
        <family val="2"/>
        <scheme val="minor"/>
      </rPr>
      <t xml:space="preserve">Flexible Spending Account (FSA): </t>
    </r>
    <r>
      <rPr>
        <b/>
        <sz val="11"/>
        <color theme="1"/>
        <rFont val="Aptos Narrow"/>
        <family val="2"/>
        <scheme val="minor"/>
      </rPr>
      <t xml:space="preserve"> Contributions to a FSA can be done through HealthFlex Exchange or the church's payroll company. Contributions are not the church's responsibility. Churches should deduct this amount from the pastor's salary. Regardless of selecting FSA through the HealthFlex Exchange or through the church’s payroll company, please report the amount on this line.  </t>
    </r>
  </si>
  <si>
    <r>
      <rPr>
        <b/>
        <sz val="11"/>
        <color rgb="FFFF0000"/>
        <rFont val="Aptos Narrow"/>
        <family val="2"/>
        <scheme val="minor"/>
      </rPr>
      <t xml:space="preserve">Health Savings Account (HSA): </t>
    </r>
    <r>
      <rPr>
        <b/>
        <sz val="11"/>
        <color theme="1"/>
        <rFont val="Aptos Narrow"/>
        <family val="2"/>
        <scheme val="minor"/>
      </rPr>
      <t xml:space="preserve"> If receiving an HSA, an additional personal contribution can be made to this account instead of to a separate FSA. See report instructions for information on max allowable contribution. HSA contributions are not the church's responsibility. Churches should deduct this amount from the pastor's salary. </t>
    </r>
  </si>
  <si>
    <r>
      <rPr>
        <b/>
        <sz val="11"/>
        <color rgb="FFFF0000"/>
        <rFont val="Aptos Narrow"/>
        <family val="2"/>
        <scheme val="minor"/>
      </rPr>
      <t>Dental &amp; Vision Plans:</t>
    </r>
    <r>
      <rPr>
        <b/>
        <sz val="11"/>
        <color theme="1"/>
        <rFont val="Aptos Narrow"/>
        <family val="2"/>
        <scheme val="minor"/>
      </rPr>
      <t xml:space="preserve">  Churches will be billed directly for their pastor's dental and/or vision plan enrollment. These plan costs are not the church's responsibility. Churches should deduct this amount from the pastor's salary. </t>
    </r>
  </si>
  <si>
    <r>
      <rPr>
        <b/>
        <sz val="11"/>
        <color rgb="FFFF0000"/>
        <rFont val="Aptos Narrow"/>
        <family val="2"/>
        <scheme val="minor"/>
      </rPr>
      <t>Health Insurance:</t>
    </r>
    <r>
      <rPr>
        <b/>
        <sz val="11"/>
        <color theme="1"/>
        <rFont val="Aptos Narrow"/>
        <family val="2"/>
        <scheme val="minor"/>
      </rPr>
      <t xml:space="preserve">  Churches will be billed directly for their pastor's health insurance premium responsibility. This is separate from the church's composite rate premium. Churches should deduct this amount from the pastor's salary. Doesn't change the church's blended rate. </t>
    </r>
  </si>
  <si>
    <r>
      <t xml:space="preserve">Benefits (Non-Taxable) </t>
    </r>
    <r>
      <rPr>
        <sz val="11"/>
        <color theme="1"/>
        <rFont val="Aptos Narrow"/>
        <family val="2"/>
        <scheme val="minor"/>
      </rPr>
      <t>-</t>
    </r>
    <r>
      <rPr>
        <b/>
        <sz val="11"/>
        <color theme="1"/>
        <rFont val="Aptos Narrow"/>
        <family val="2"/>
        <scheme val="minor"/>
      </rPr>
      <t xml:space="preserve"> </t>
    </r>
    <r>
      <rPr>
        <sz val="11"/>
        <color theme="1"/>
        <rFont val="Aptos Narrow"/>
        <family val="2"/>
        <scheme val="minor"/>
      </rPr>
      <t xml:space="preserve">Adding an X under the appropriate box below autopopulates the benefits these specific conference relationships and appointment statuses are eligible to receive. An X is not required for all conference relationships. Reference your "Full Appointment Status" and "Conference Relationship" at the beginning of this form.                               </t>
    </r>
  </si>
  <si>
    <t>tax_deferred_umpip</t>
  </si>
  <si>
    <t>tax_paid_umpip</t>
  </si>
  <si>
    <t>crsp_dc</t>
  </si>
  <si>
    <t>crsp_db</t>
  </si>
  <si>
    <t>composite_rate</t>
  </si>
  <si>
    <r>
      <rPr>
        <b/>
        <u/>
        <sz val="14"/>
        <color rgb="FFFF0000"/>
        <rFont val="Aptos Narrow"/>
        <family val="2"/>
        <scheme val="minor"/>
      </rPr>
      <t>Only enter the pastor's address below</t>
    </r>
    <r>
      <rPr>
        <b/>
        <sz val="14"/>
        <color rgb="FFFF0000"/>
        <rFont val="Aptos Narrow"/>
        <family val="2"/>
        <scheme val="minor"/>
      </rPr>
      <t xml:space="preserve">. The remaining information below will automatically populate based on the information entered on the Clergy Compensation Report above. Either box A or B should be completed below, but </t>
    </r>
    <r>
      <rPr>
        <b/>
        <u/>
        <sz val="14"/>
        <color rgb="FFFF0000"/>
        <rFont val="Aptos Narrow"/>
        <family val="2"/>
        <scheme val="minor"/>
      </rPr>
      <t>NOT</t>
    </r>
    <r>
      <rPr>
        <b/>
        <sz val="14"/>
        <color rgb="FFFF0000"/>
        <rFont val="Aptos Narrow"/>
        <family val="2"/>
        <scheme val="minor"/>
      </rPr>
      <t xml:space="preserve"> both. </t>
    </r>
  </si>
  <si>
    <t xml:space="preserve">Provisional, Commissioned Member plus housing </t>
  </si>
  <si>
    <r>
      <rPr>
        <b/>
        <sz val="11"/>
        <color rgb="FFFF0000"/>
        <rFont val="Aptos Narrow"/>
        <family val="2"/>
        <scheme val="minor"/>
      </rPr>
      <t>Minimum Salary:</t>
    </r>
    <r>
      <rPr>
        <b/>
        <sz val="11"/>
        <color theme="1"/>
        <rFont val="Aptos Narrow"/>
        <family val="2"/>
        <scheme val="minor"/>
      </rPr>
      <t xml:space="preserve"> Clergy in full connection $48,992;  Provisional Member $46,436, Associate Member $45,462;  Full Time Local Pastor $43,033
(1% increase per year of full time service) - If unsure how to calculate, check the tab at the bottom named "Minimum Salary".</t>
    </r>
  </si>
  <si>
    <r>
      <t xml:space="preserve">Housing Allowance
</t>
    </r>
    <r>
      <rPr>
        <sz val="10.5"/>
        <color theme="1"/>
        <rFont val="Aptos Narrow"/>
        <family val="2"/>
        <scheme val="minor"/>
      </rPr>
      <t>Paid in addition to cash salary.</t>
    </r>
  </si>
  <si>
    <t>Total Salary and Benefits Package</t>
  </si>
  <si>
    <r>
      <rPr>
        <b/>
        <sz val="11"/>
        <color theme="1"/>
        <rFont val="Aptos Narrow"/>
        <family val="2"/>
        <scheme val="minor"/>
      </rPr>
      <t>Total Benefit Costs</t>
    </r>
    <r>
      <rPr>
        <sz val="10.5"/>
        <color theme="1"/>
        <rFont val="Aptos Narrow"/>
        <family val="2"/>
        <scheme val="minor"/>
      </rPr>
      <t xml:space="preserve"> (Total of lines 21, 23, 24, 26, 27)</t>
    </r>
  </si>
  <si>
    <r>
      <rPr>
        <b/>
        <sz val="11"/>
        <color theme="1"/>
        <rFont val="Aptos Narrow"/>
        <family val="2"/>
        <scheme val="minor"/>
      </rPr>
      <t xml:space="preserve">Expenses </t>
    </r>
    <r>
      <rPr>
        <b/>
        <sz val="11"/>
        <rFont val="Aptos Narrow"/>
        <family val="2"/>
        <scheme val="minor"/>
      </rPr>
      <t>paid directly by the local church not included in
lines 1-14</t>
    </r>
    <r>
      <rPr>
        <sz val="10.5"/>
        <rFont val="Aptos Narrow"/>
        <family val="2"/>
        <scheme val="minor"/>
      </rPr>
      <t xml:space="preserve"> ( Expenses Paid Directly by the Local Church Not Included in Lines 1‐14
These are expenses paid directly by the local church on behalf of the pastor, including reimbursements to the pastor
for social security payments, auto expenses including auto insurance and lease payments, club memberships,
children’s scholarships, health insurance premiums for non‐Conference health plans, etc. The details of these
expenses must be outlined in a written agreement and submitted with the Clergy Compensation Report.)</t>
    </r>
  </si>
  <si>
    <t>B. If your conference relationship is DM  DR  OR  RA  RD  RE  RL  RO  RP  SY  LM  CP, or you are part-time and have waived pension and submittted your enrollment form enter X here</t>
  </si>
  <si>
    <r>
      <rPr>
        <b/>
        <sz val="11"/>
        <color theme="1"/>
        <rFont val="Aptos Narrow"/>
        <family val="2"/>
        <scheme val="minor"/>
      </rPr>
      <t>Total Salary</t>
    </r>
    <r>
      <rPr>
        <sz val="10.5"/>
        <color theme="1"/>
        <rFont val="Aptos Narrow"/>
        <family val="2"/>
        <scheme val="minor"/>
      </rPr>
      <t xml:space="preserve"> (</t>
    </r>
    <r>
      <rPr>
        <sz val="10.5"/>
        <rFont val="Aptos Narrow"/>
        <family val="2"/>
        <scheme val="minor"/>
      </rPr>
      <t>Lines 13 plus lines 15 and 17)</t>
    </r>
  </si>
  <si>
    <r>
      <rPr>
        <b/>
        <sz val="11"/>
        <color theme="1"/>
        <rFont val="Aptos Narrow"/>
        <family val="2"/>
        <scheme val="minor"/>
      </rPr>
      <t>Total Federal Taxable Salary</t>
    </r>
    <r>
      <rPr>
        <sz val="11"/>
        <color theme="1"/>
        <rFont val="Aptos Narrow"/>
        <family val="2"/>
        <scheme val="minor"/>
      </rPr>
      <t xml:space="preserve"> </t>
    </r>
    <r>
      <rPr>
        <sz val="10.5"/>
        <rFont val="Aptos Narrow"/>
        <family val="2"/>
        <scheme val="minor"/>
      </rPr>
      <t>(Total of Lines 1-5 plus Line 15 minus line 13)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</si>
</sst>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m/d/yy;@"/>
    <numFmt numFmtId="165" formatCode="_(* #,##0_);_(* \(#,##0\);_(* &quot;-&quot;??_);_(@_)"/>
    <numFmt numFmtId="166" formatCode="&quot;$&quot;#,##0"/>
  </numFmts>
  <fonts count="38"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u/>
      <sz val="11"/>
      <color theme="10"/>
      <name val="Aptos Narrow"/>
      <family val="2"/>
      <scheme val="minor"/>
    </font>
    <font>
      <b/>
      <sz val="12"/>
      <color theme="1"/>
      <name val="Aptos Narrow"/>
      <family val="2"/>
      <scheme val="minor"/>
    </font>
    <font>
      <sz val="13"/>
      <color theme="1"/>
      <name val="Aptos Narrow"/>
      <family val="2"/>
      <scheme val="minor"/>
    </font>
    <font>
      <sz val="12"/>
      <color theme="1"/>
      <name val="Aptos Narrow"/>
      <family val="2"/>
      <scheme val="minor"/>
    </font>
    <font>
      <sz val="14"/>
      <color theme="1"/>
      <name val="Aptos Narrow"/>
      <family val="2"/>
      <scheme val="minor"/>
    </font>
    <font>
      <sz val="11"/>
      <color theme="1"/>
      <name val="Arial"/>
      <family val="2"/>
    </font>
    <font>
      <sz val="10"/>
      <color theme="1"/>
      <name val="Aptos Narrow"/>
      <family val="2"/>
      <scheme val="minor"/>
    </font>
    <font>
      <sz val="10.5"/>
      <color theme="1"/>
      <name val="Aptos Narrow"/>
      <family val="2"/>
      <scheme val="minor"/>
    </font>
    <font>
      <sz val="10.5"/>
      <name val="Aptos Narrow"/>
      <family val="2"/>
      <scheme val="minor"/>
    </font>
    <font>
      <b/>
      <sz val="10"/>
      <color theme="1"/>
      <name val="Arial"/>
      <family val="2"/>
    </font>
    <font>
      <sz val="11"/>
      <color indexed="8"/>
      <name val="Aptos Narrow"/>
      <family val="2"/>
      <scheme val="minor"/>
    </font>
    <font>
      <sz val="10.5"/>
      <color rgb="FFFF0000"/>
      <name val="Aptos Narrow"/>
      <family val="2"/>
      <scheme val="minor"/>
    </font>
    <font>
      <sz val="11"/>
      <name val="Aptos Narrow"/>
      <family val="2"/>
      <scheme val="minor"/>
    </font>
    <font>
      <b/>
      <sz val="11"/>
      <name val="Aptos Narrow"/>
      <family val="2"/>
      <scheme val="minor"/>
    </font>
    <font>
      <b/>
      <sz val="10.5"/>
      <name val="Aptos Narrow"/>
      <family val="2"/>
      <scheme val="minor"/>
    </font>
    <font>
      <b/>
      <sz val="10.5"/>
      <color theme="1"/>
      <name val="Aptos Narrow"/>
      <family val="2"/>
      <scheme val="minor"/>
    </font>
    <font>
      <b/>
      <sz val="10.5"/>
      <color rgb="FFFF0000"/>
      <name val="Aptos Narrow"/>
      <family val="2"/>
      <scheme val="minor"/>
    </font>
    <font>
      <b/>
      <sz val="9"/>
      <color theme="1"/>
      <name val="Arial"/>
      <family val="2"/>
    </font>
    <font>
      <sz val="9"/>
      <color theme="1"/>
      <name val="Arial"/>
      <family val="2"/>
    </font>
    <font>
      <sz val="9"/>
      <color theme="1"/>
      <name val="Aptos Narrow"/>
      <family val="2"/>
      <scheme val="minor"/>
    </font>
    <font>
      <b/>
      <sz val="14"/>
      <color theme="1"/>
      <name val="Aptos Narrow"/>
      <family val="2"/>
      <scheme val="minor"/>
    </font>
    <font>
      <b/>
      <sz val="11"/>
      <color rgb="FFFF0000"/>
      <name val="Aptos Narrow"/>
      <family val="2"/>
      <scheme val="minor"/>
    </font>
    <font>
      <b/>
      <sz val="12"/>
      <color rgb="FFFF0000"/>
      <name val="Aptos Narrow"/>
      <family val="2"/>
      <scheme val="minor"/>
    </font>
    <font>
      <b/>
      <sz val="12.5"/>
      <color theme="1"/>
      <name val="Aptos Narrow"/>
      <family val="2"/>
      <scheme val="minor"/>
    </font>
    <font>
      <sz val="12"/>
      <name val="Aptos Narrow"/>
      <family val="2"/>
      <scheme val="minor"/>
    </font>
    <font>
      <sz val="11"/>
      <color rgb="FF000000"/>
      <name val="Segoe UI"/>
      <family val="2"/>
    </font>
    <font>
      <b/>
      <i/>
      <sz val="11"/>
      <color theme="1"/>
      <name val="Arial"/>
      <family val="2"/>
    </font>
    <font>
      <u/>
      <sz val="11"/>
      <color theme="10"/>
      <name val="Arial"/>
      <family val="2"/>
    </font>
    <font>
      <sz val="11"/>
      <name val="Arial"/>
      <family val="2"/>
    </font>
    <font>
      <u/>
      <sz val="12"/>
      <color theme="1"/>
      <name val="Aptos Narrow"/>
      <family val="2"/>
      <scheme val="minor"/>
    </font>
    <font>
      <b/>
      <u/>
      <sz val="12"/>
      <color theme="1"/>
      <name val="Aptos Narrow"/>
      <family val="2"/>
      <scheme val="minor"/>
    </font>
    <font>
      <u/>
      <sz val="16"/>
      <color theme="4" tint="0.39997558519241921"/>
      <name val="Aptos Narrow"/>
      <family val="2"/>
      <scheme val="minor"/>
    </font>
    <font>
      <b/>
      <sz val="14"/>
      <color rgb="FFFF0000"/>
      <name val="Aptos Narrow"/>
      <family val="2"/>
      <scheme val="minor"/>
    </font>
    <font>
      <b/>
      <u/>
      <sz val="14"/>
      <color rgb="FFFF0000"/>
      <name val="Aptos Narrow"/>
      <family val="2"/>
      <scheme val="minor"/>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theme="0" tint="-0.249977111117893"/>
        <bgColor indexed="64"/>
      </patternFill>
    </fill>
    <fill>
      <patternFill patternType="solid">
        <fgColor theme="6" tint="0.79998168889431442"/>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4">
    <xf numFmtId="0" fontId="0" fillId="0" borderId="0"/>
    <xf numFmtId="43" fontId="1" fillId="0" borderId="0" applyFon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cellStyleXfs>
  <cellXfs count="324">
    <xf numFmtId="0" fontId="0" fillId="0" borderId="0" xfId="0"/>
    <xf numFmtId="0" fontId="3" fillId="0" borderId="24" xfId="0" applyFont="1" applyBorder="1" applyAlignment="1">
      <alignment horizontal="center" vertical="center"/>
    </xf>
    <xf numFmtId="0" fontId="9" fillId="0" borderId="24" xfId="0" applyFont="1" applyBorder="1" applyAlignment="1">
      <alignment horizontal="center"/>
    </xf>
    <xf numFmtId="0" fontId="0" fillId="0" borderId="23" xfId="0" applyBorder="1" applyAlignment="1">
      <alignment horizontal="center" vertical="center"/>
    </xf>
    <xf numFmtId="0" fontId="0" fillId="0" borderId="24" xfId="0" applyBorder="1" applyAlignment="1">
      <alignment horizontal="center" vertical="center"/>
    </xf>
    <xf numFmtId="165" fontId="1" fillId="0" borderId="24" xfId="1" applyNumberFormat="1" applyFont="1" applyBorder="1"/>
    <xf numFmtId="165" fontId="1" fillId="0" borderId="0" xfId="1" applyNumberFormat="1" applyFont="1" applyBorder="1"/>
    <xf numFmtId="43" fontId="1" fillId="0" borderId="28" xfId="1" applyFont="1" applyBorder="1"/>
    <xf numFmtId="165" fontId="0" fillId="0" borderId="29" xfId="0" applyNumberFormat="1" applyBorder="1"/>
    <xf numFmtId="165" fontId="0" fillId="0" borderId="29" xfId="1" applyNumberFormat="1" applyFont="1" applyBorder="1"/>
    <xf numFmtId="165" fontId="0" fillId="0" borderId="27" xfId="1" applyNumberFormat="1" applyFont="1" applyBorder="1"/>
    <xf numFmtId="0" fontId="3" fillId="2" borderId="24" xfId="0" applyFont="1" applyFill="1" applyBorder="1" applyAlignment="1">
      <alignment horizontal="center" vertical="center"/>
    </xf>
    <xf numFmtId="165" fontId="1" fillId="0" borderId="21" xfId="1" applyNumberFormat="1" applyFont="1" applyBorder="1" applyAlignment="1">
      <alignment vertical="center"/>
    </xf>
    <xf numFmtId="165" fontId="1" fillId="0" borderId="24" xfId="1" applyNumberFormat="1" applyFont="1" applyBorder="1" applyAlignment="1">
      <alignment vertical="center"/>
    </xf>
    <xf numFmtId="165" fontId="1" fillId="0" borderId="24" xfId="1" applyNumberFormat="1" applyFont="1" applyBorder="1" applyAlignment="1"/>
    <xf numFmtId="0" fontId="21" fillId="0" borderId="20" xfId="0" applyFont="1" applyBorder="1"/>
    <xf numFmtId="0" fontId="0" fillId="0" borderId="20" xfId="0" applyBorder="1"/>
    <xf numFmtId="0" fontId="21" fillId="0" borderId="31" xfId="0" applyFont="1" applyBorder="1"/>
    <xf numFmtId="0" fontId="0" fillId="0" borderId="18" xfId="0" applyBorder="1"/>
    <xf numFmtId="0" fontId="21" fillId="0" borderId="18" xfId="0" applyFont="1" applyBorder="1"/>
    <xf numFmtId="165" fontId="1" fillId="0" borderId="30" xfId="1" applyNumberFormat="1" applyFont="1" applyBorder="1"/>
    <xf numFmtId="0" fontId="11" fillId="0" borderId="0" xfId="0" applyFont="1" applyAlignment="1">
      <alignment vertical="center" wrapText="1"/>
    </xf>
    <xf numFmtId="165" fontId="0" fillId="0" borderId="24" xfId="1" quotePrefix="1" applyNumberFormat="1" applyFont="1" applyBorder="1"/>
    <xf numFmtId="0" fontId="3" fillId="2" borderId="24" xfId="0" applyFont="1" applyFill="1" applyBorder="1" applyAlignment="1">
      <alignment vertical="center"/>
    </xf>
    <xf numFmtId="165" fontId="0" fillId="0" borderId="24" xfId="0" applyNumberFormat="1" applyBorder="1" applyAlignment="1">
      <alignment vertical="center"/>
    </xf>
    <xf numFmtId="0" fontId="22" fillId="0" borderId="0" xfId="0" applyFont="1" applyAlignment="1">
      <alignment horizontal="center" vertical="top"/>
    </xf>
    <xf numFmtId="165" fontId="22" fillId="0" borderId="0" xfId="1" applyNumberFormat="1" applyFont="1" applyBorder="1" applyAlignment="1">
      <alignment horizontal="center" vertical="top"/>
    </xf>
    <xf numFmtId="0" fontId="20" fillId="0" borderId="0" xfId="0" applyFont="1" applyAlignment="1">
      <alignment horizontal="left" wrapText="1"/>
    </xf>
    <xf numFmtId="0" fontId="10" fillId="0" borderId="0" xfId="0" applyFont="1" applyAlignment="1">
      <alignment wrapText="1"/>
    </xf>
    <xf numFmtId="0" fontId="3" fillId="0" borderId="0" xfId="0" applyFont="1" applyAlignment="1">
      <alignment horizontal="right"/>
    </xf>
    <xf numFmtId="0" fontId="10" fillId="0" borderId="0" xfId="0" applyFont="1" applyAlignment="1">
      <alignment horizontal="center"/>
    </xf>
    <xf numFmtId="0" fontId="5" fillId="0" borderId="0" xfId="0" applyFont="1" applyAlignment="1">
      <alignment horizontal="center" wrapText="1"/>
    </xf>
    <xf numFmtId="0" fontId="23" fillId="0" borderId="0" xfId="0" applyFont="1"/>
    <xf numFmtId="0" fontId="0" fillId="0" borderId="0" xfId="0" applyAlignment="1">
      <alignment vertical="top" wrapText="1"/>
    </xf>
    <xf numFmtId="0" fontId="26" fillId="0" borderId="0" xfId="0" applyFont="1" applyAlignment="1">
      <alignment horizontal="center"/>
    </xf>
    <xf numFmtId="0" fontId="5" fillId="0" borderId="0" xfId="0" applyFont="1"/>
    <xf numFmtId="0" fontId="26" fillId="0" borderId="33" xfId="0" applyFont="1" applyBorder="1" applyAlignment="1">
      <alignment horizontal="center" vertical="center"/>
    </xf>
    <xf numFmtId="0" fontId="0" fillId="0" borderId="34" xfId="0" applyBorder="1"/>
    <xf numFmtId="0" fontId="0" fillId="0" borderId="35" xfId="0" applyBorder="1"/>
    <xf numFmtId="0" fontId="0" fillId="0" borderId="36" xfId="0" applyBorder="1"/>
    <xf numFmtId="0" fontId="5" fillId="0" borderId="36" xfId="0" applyFont="1" applyBorder="1" applyAlignment="1">
      <alignment horizontal="left" indent="4"/>
    </xf>
    <xf numFmtId="0" fontId="5" fillId="0" borderId="0" xfId="0" applyFont="1" applyAlignment="1">
      <alignment horizontal="left" indent="4"/>
    </xf>
    <xf numFmtId="0" fontId="7" fillId="0" borderId="0" xfId="0" applyFont="1" applyAlignment="1">
      <alignment horizontal="center"/>
    </xf>
    <xf numFmtId="0" fontId="5" fillId="0" borderId="0" xfId="0" applyFont="1" applyAlignment="1">
      <alignment horizontal="left" indent="1"/>
    </xf>
    <xf numFmtId="0" fontId="7" fillId="0" borderId="0" xfId="0" quotePrefix="1" applyFont="1" applyAlignment="1">
      <alignment horizontal="left"/>
    </xf>
    <xf numFmtId="0" fontId="7" fillId="0" borderId="0" xfId="0" applyFont="1" applyAlignment="1">
      <alignment horizontal="left"/>
    </xf>
    <xf numFmtId="0" fontId="7" fillId="0" borderId="35" xfId="0" applyFont="1" applyBorder="1" applyAlignment="1">
      <alignment horizontal="left"/>
    </xf>
    <xf numFmtId="0" fontId="3" fillId="0" borderId="0" xfId="0" applyFont="1"/>
    <xf numFmtId="0" fontId="0" fillId="0" borderId="33" xfId="0" applyBorder="1"/>
    <xf numFmtId="0" fontId="5" fillId="0" borderId="36" xfId="0" applyFont="1" applyBorder="1" applyAlignment="1">
      <alignment horizontal="left" indent="1"/>
    </xf>
    <xf numFmtId="0" fontId="5" fillId="0" borderId="0" xfId="0" applyFont="1" applyAlignment="1">
      <alignment horizontal="right"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7" fillId="0" borderId="0" xfId="0" applyFont="1" applyAlignment="1">
      <alignment horizontal="left" indent="3"/>
    </xf>
    <xf numFmtId="0" fontId="0" fillId="0" borderId="0" xfId="0" applyAlignment="1">
      <alignment horizontal="left" indent="3"/>
    </xf>
    <xf numFmtId="0" fontId="0" fillId="0" borderId="35" xfId="0" applyBorder="1" applyAlignment="1">
      <alignment horizontal="left"/>
    </xf>
    <xf numFmtId="0" fontId="7" fillId="0" borderId="36" xfId="0" applyFont="1" applyBorder="1" applyAlignment="1">
      <alignment horizontal="left" indent="2"/>
    </xf>
    <xf numFmtId="0" fontId="7" fillId="0" borderId="0" xfId="0" applyFont="1" applyAlignment="1">
      <alignment horizontal="left" indent="2"/>
    </xf>
    <xf numFmtId="0" fontId="0" fillId="0" borderId="0" xfId="0" applyAlignment="1">
      <alignment horizontal="left"/>
    </xf>
    <xf numFmtId="0" fontId="0" fillId="0" borderId="0" xfId="0" applyAlignment="1">
      <alignment horizontal="center"/>
    </xf>
    <xf numFmtId="0" fontId="7" fillId="0" borderId="0" xfId="0" applyFont="1"/>
    <xf numFmtId="49" fontId="7" fillId="0" borderId="0" xfId="0" applyNumberFormat="1" applyFont="1" applyAlignment="1">
      <alignment horizontal="center"/>
    </xf>
    <xf numFmtId="0" fontId="28" fillId="0" borderId="0" xfId="0" applyFont="1" applyAlignment="1">
      <alignment horizontal="left" vertical="center"/>
    </xf>
    <xf numFmtId="0" fontId="7" fillId="0" borderId="0" xfId="0" applyFont="1" applyAlignment="1">
      <alignment horizontal="left" vertical="center"/>
    </xf>
    <xf numFmtId="12" fontId="7" fillId="0" borderId="0" xfId="0" applyNumberFormat="1" applyFont="1" applyAlignment="1">
      <alignment horizontal="center"/>
    </xf>
    <xf numFmtId="0" fontId="29" fillId="0" borderId="0" xfId="0" applyFont="1"/>
    <xf numFmtId="49" fontId="0" fillId="0" borderId="0" xfId="0" applyNumberFormat="1" applyAlignment="1">
      <alignment horizontal="center"/>
    </xf>
    <xf numFmtId="0" fontId="2" fillId="0" borderId="0" xfId="0" applyFont="1"/>
    <xf numFmtId="14" fontId="0" fillId="0" borderId="0" xfId="0" applyNumberFormat="1"/>
    <xf numFmtId="41" fontId="0" fillId="0" borderId="0" xfId="1" applyNumberFormat="1" applyFont="1"/>
    <xf numFmtId="0" fontId="5" fillId="0" borderId="20" xfId="0" applyFont="1" applyBorder="1" applyAlignment="1">
      <alignment horizontal="left" wrapText="1"/>
    </xf>
    <xf numFmtId="0" fontId="5" fillId="0" borderId="18" xfId="0" applyFont="1" applyBorder="1" applyAlignment="1">
      <alignment horizontal="left" wrapText="1"/>
    </xf>
    <xf numFmtId="0" fontId="5" fillId="0" borderId="20" xfId="0" applyFont="1" applyBorder="1" applyAlignment="1">
      <alignment horizontal="left"/>
    </xf>
    <xf numFmtId="0" fontId="5" fillId="0" borderId="24" xfId="0" applyFont="1" applyBorder="1"/>
    <xf numFmtId="0" fontId="5" fillId="0" borderId="24" xfId="0" applyFont="1" applyBorder="1" applyAlignment="1">
      <alignment horizontal="left" wrapText="1"/>
    </xf>
    <xf numFmtId="0" fontId="5" fillId="0" borderId="30" xfId="0" applyFont="1" applyBorder="1" applyAlignment="1">
      <alignment horizontal="left" wrapText="1"/>
    </xf>
    <xf numFmtId="0" fontId="5" fillId="0" borderId="24" xfId="0" applyFont="1" applyBorder="1" applyAlignment="1">
      <alignment horizontal="left"/>
    </xf>
    <xf numFmtId="0" fontId="0" fillId="0" borderId="23" xfId="0" applyBorder="1"/>
    <xf numFmtId="0" fontId="9" fillId="0" borderId="30" xfId="0" applyFont="1" applyBorder="1" applyAlignment="1">
      <alignment horizontal="center" wrapText="1"/>
    </xf>
    <xf numFmtId="3" fontId="9" fillId="0" borderId="30" xfId="0" applyNumberFormat="1" applyFont="1" applyBorder="1" applyAlignment="1">
      <alignment horizontal="center" wrapText="1"/>
    </xf>
    <xf numFmtId="0" fontId="9" fillId="0" borderId="30" xfId="0" applyFont="1" applyBorder="1" applyAlignment="1">
      <alignment wrapText="1"/>
    </xf>
    <xf numFmtId="0" fontId="4" fillId="0" borderId="30" xfId="2" applyBorder="1" applyAlignment="1" applyProtection="1">
      <alignment horizontal="center" wrapText="1"/>
      <protection locked="0"/>
    </xf>
    <xf numFmtId="0" fontId="9" fillId="0" borderId="24" xfId="0" applyFont="1" applyBorder="1" applyAlignment="1">
      <alignment horizontal="center" wrapText="1"/>
    </xf>
    <xf numFmtId="3" fontId="9" fillId="0" borderId="24" xfId="0" applyNumberFormat="1" applyFont="1" applyBorder="1" applyAlignment="1">
      <alignment horizontal="center"/>
    </xf>
    <xf numFmtId="3" fontId="9" fillId="0" borderId="24" xfId="3" applyNumberFormat="1" applyFont="1" applyBorder="1" applyAlignment="1">
      <alignment horizontal="center"/>
    </xf>
    <xf numFmtId="166" fontId="9" fillId="0" borderId="24" xfId="3" applyNumberFormat="1" applyFont="1" applyBorder="1" applyAlignment="1">
      <alignment horizontal="center"/>
    </xf>
    <xf numFmtId="0" fontId="31" fillId="0" borderId="24" xfId="2" applyFont="1" applyBorder="1" applyAlignment="1">
      <alignment horizontal="center"/>
    </xf>
    <xf numFmtId="0" fontId="9" fillId="0" borderId="24" xfId="0" applyFont="1" applyBorder="1" applyAlignment="1">
      <alignment horizontal="center" vertical="center"/>
    </xf>
    <xf numFmtId="0" fontId="32" fillId="0" borderId="24" xfId="0" applyFont="1" applyBorder="1" applyAlignment="1">
      <alignment horizontal="center"/>
    </xf>
    <xf numFmtId="0" fontId="4" fillId="0" borderId="24" xfId="2" applyBorder="1" applyAlignment="1">
      <alignment horizontal="center"/>
    </xf>
    <xf numFmtId="0" fontId="9" fillId="0" borderId="0" xfId="0" applyFont="1"/>
    <xf numFmtId="0" fontId="9" fillId="0" borderId="0" xfId="0" applyFont="1" applyAlignment="1">
      <alignment horizontal="center"/>
    </xf>
    <xf numFmtId="0" fontId="3" fillId="0" borderId="20" xfId="0" applyFont="1" applyBorder="1" applyAlignment="1">
      <alignment horizontal="left" vertical="center" wrapText="1"/>
    </xf>
    <xf numFmtId="0" fontId="7" fillId="0" borderId="24" xfId="0" applyFont="1" applyBorder="1" applyAlignment="1" applyProtection="1">
      <alignment horizontal="center" wrapText="1"/>
      <protection locked="0"/>
    </xf>
    <xf numFmtId="0" fontId="0" fillId="4" borderId="21" xfId="0" applyFill="1" applyBorder="1" applyAlignment="1" applyProtection="1">
      <alignment horizontal="center" vertical="center" wrapText="1"/>
      <protection locked="0"/>
    </xf>
    <xf numFmtId="0" fontId="0" fillId="4" borderId="24" xfId="0" applyFill="1" applyBorder="1" applyAlignment="1" applyProtection="1">
      <alignment horizontal="center" vertical="center" wrapText="1"/>
      <protection locked="0"/>
    </xf>
    <xf numFmtId="165" fontId="1" fillId="0" borderId="24" xfId="1" applyNumberFormat="1" applyFont="1" applyFill="1" applyBorder="1" applyProtection="1">
      <protection locked="0"/>
    </xf>
    <xf numFmtId="165" fontId="1" fillId="0" borderId="23" xfId="1" applyNumberFormat="1" applyFont="1" applyFill="1" applyBorder="1" applyProtection="1">
      <protection locked="0"/>
    </xf>
    <xf numFmtId="165" fontId="1" fillId="0" borderId="24" xfId="1" applyNumberFormat="1" applyFont="1" applyBorder="1" applyProtection="1">
      <protection locked="0"/>
    </xf>
    <xf numFmtId="165" fontId="1" fillId="0" borderId="23" xfId="1" applyNumberFormat="1" applyFont="1" applyBorder="1" applyProtection="1">
      <protection locked="0"/>
    </xf>
    <xf numFmtId="165" fontId="1" fillId="0" borderId="26" xfId="1" applyNumberFormat="1" applyFont="1" applyFill="1" applyBorder="1" applyProtection="1">
      <protection locked="0"/>
    </xf>
    <xf numFmtId="0" fontId="0" fillId="0" borderId="27" xfId="0" applyBorder="1" applyProtection="1">
      <protection locked="0"/>
    </xf>
    <xf numFmtId="0" fontId="0" fillId="0" borderId="39" xfId="0" applyBorder="1" applyProtection="1">
      <protection locked="0"/>
    </xf>
    <xf numFmtId="0" fontId="0" fillId="0" borderId="40" xfId="0" applyBorder="1" applyProtection="1">
      <protection locked="0"/>
    </xf>
    <xf numFmtId="3" fontId="0" fillId="0" borderId="27" xfId="1" applyNumberFormat="1" applyFont="1" applyBorder="1" applyProtection="1">
      <protection locked="0"/>
    </xf>
    <xf numFmtId="0" fontId="0" fillId="0" borderId="41" xfId="0" applyBorder="1" applyProtection="1">
      <protection locked="0"/>
    </xf>
    <xf numFmtId="0" fontId="0" fillId="0" borderId="42" xfId="0" applyBorder="1" applyProtection="1">
      <protection locked="0"/>
    </xf>
    <xf numFmtId="0" fontId="3" fillId="0" borderId="24" xfId="0" applyFont="1" applyBorder="1" applyAlignment="1" applyProtection="1">
      <alignment horizontal="center" vertical="center"/>
      <protection locked="0"/>
    </xf>
    <xf numFmtId="43" fontId="3" fillId="0" borderId="32" xfId="1" applyFont="1" applyFill="1" applyBorder="1" applyAlignment="1" applyProtection="1">
      <alignment horizontal="center"/>
      <protection locked="0"/>
    </xf>
    <xf numFmtId="165" fontId="1" fillId="0" borderId="30" xfId="1" applyNumberFormat="1" applyFont="1" applyFill="1" applyBorder="1" applyProtection="1">
      <protection locked="0"/>
    </xf>
    <xf numFmtId="165" fontId="0" fillId="0" borderId="24" xfId="1" quotePrefix="1" applyNumberFormat="1" applyFont="1" applyBorder="1" applyProtection="1">
      <protection locked="0"/>
    </xf>
    <xf numFmtId="0" fontId="7" fillId="0" borderId="24" xfId="0" applyFont="1" applyBorder="1" applyAlignment="1" applyProtection="1">
      <alignment horizontal="center" vertical="center" wrapText="1"/>
      <protection locked="0"/>
    </xf>
    <xf numFmtId="0" fontId="7" fillId="0" borderId="24" xfId="0" applyFont="1" applyBorder="1" applyAlignment="1">
      <alignment horizontal="center"/>
    </xf>
    <xf numFmtId="0" fontId="7" fillId="0" borderId="24" xfId="0" applyFont="1" applyBorder="1" applyAlignment="1">
      <alignment horizontal="center" wrapText="1"/>
    </xf>
    <xf numFmtId="37" fontId="1" fillId="0" borderId="30" xfId="1" applyNumberFormat="1" applyFont="1" applyFill="1" applyBorder="1" applyProtection="1">
      <protection locked="0"/>
    </xf>
    <xf numFmtId="37" fontId="1" fillId="0" borderId="24" xfId="1" applyNumberFormat="1" applyFont="1" applyFill="1" applyBorder="1" applyProtection="1">
      <protection locked="0"/>
    </xf>
    <xf numFmtId="1" fontId="1" fillId="0" borderId="24" xfId="1" applyNumberFormat="1" applyFont="1" applyFill="1" applyBorder="1" applyProtection="1">
      <protection locked="0"/>
    </xf>
    <xf numFmtId="1" fontId="1" fillId="0" borderId="23" xfId="1" applyNumberFormat="1" applyFont="1" applyFill="1" applyBorder="1" applyProtection="1">
      <protection locked="0"/>
    </xf>
    <xf numFmtId="0" fontId="3" fillId="2" borderId="2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9" fillId="5" borderId="24" xfId="0" applyFont="1" applyFill="1" applyBorder="1" applyAlignment="1">
      <alignment horizontal="center"/>
    </xf>
    <xf numFmtId="0" fontId="3" fillId="5" borderId="24" xfId="0" applyFont="1" applyFill="1" applyBorder="1" applyAlignment="1">
      <alignment horizontal="center" vertical="center"/>
    </xf>
    <xf numFmtId="0" fontId="7" fillId="0" borderId="0" xfId="0" applyFont="1" applyAlignment="1">
      <alignment horizontal="center"/>
    </xf>
    <xf numFmtId="0" fontId="7" fillId="0" borderId="36" xfId="0" applyFont="1" applyBorder="1" applyAlignment="1">
      <alignment horizontal="center"/>
    </xf>
    <xf numFmtId="0" fontId="7" fillId="0" borderId="20" xfId="0" applyFont="1" applyBorder="1" applyAlignment="1">
      <alignment horizontal="left"/>
    </xf>
    <xf numFmtId="0" fontId="7" fillId="0" borderId="23" xfId="0" applyFont="1" applyBorder="1" applyAlignment="1" applyProtection="1">
      <alignment horizontal="center" wrapText="1"/>
      <protection locked="0"/>
    </xf>
    <xf numFmtId="0" fontId="7" fillId="0" borderId="21" xfId="0" applyFont="1" applyBorder="1" applyAlignment="1" applyProtection="1">
      <alignment horizontal="center" wrapText="1"/>
      <protection locked="0"/>
    </xf>
    <xf numFmtId="0" fontId="7" fillId="0" borderId="23" xfId="0" applyFont="1" applyBorder="1" applyAlignment="1">
      <alignment horizontal="center"/>
    </xf>
    <xf numFmtId="0" fontId="7" fillId="0" borderId="21" xfId="0" applyFont="1" applyBorder="1" applyAlignment="1">
      <alignment horizontal="center"/>
    </xf>
    <xf numFmtId="0" fontId="5" fillId="0" borderId="23" xfId="0" applyFont="1" applyBorder="1" applyAlignment="1">
      <alignment horizontal="left" wrapText="1"/>
    </xf>
    <xf numFmtId="0" fontId="5" fillId="0" borderId="21" xfId="0" applyFont="1" applyBorder="1" applyAlignment="1">
      <alignment horizontal="left" wrapText="1"/>
    </xf>
    <xf numFmtId="0" fontId="7" fillId="0" borderId="23" xfId="0" applyFont="1" applyBorder="1" applyAlignment="1">
      <alignment horizontal="center" wrapText="1"/>
    </xf>
    <xf numFmtId="0" fontId="7" fillId="0" borderId="21" xfId="0" applyFont="1" applyBorder="1" applyAlignment="1">
      <alignment horizontal="center" wrapText="1"/>
    </xf>
    <xf numFmtId="0" fontId="0" fillId="0" borderId="23" xfId="0" applyBorder="1" applyAlignment="1">
      <alignment horizontal="center" wrapText="1"/>
    </xf>
    <xf numFmtId="0" fontId="0" fillId="0" borderId="20" xfId="0" applyBorder="1" applyAlignment="1">
      <alignment horizontal="center" wrapText="1"/>
    </xf>
    <xf numFmtId="0" fontId="0" fillId="0" borderId="21" xfId="0" applyBorder="1" applyAlignment="1">
      <alignment horizontal="center" wrapText="1"/>
    </xf>
    <xf numFmtId="0" fontId="0" fillId="0" borderId="23" xfId="0" applyBorder="1" applyAlignment="1" applyProtection="1">
      <alignment horizontal="center" wrapText="1"/>
      <protection locked="0"/>
    </xf>
    <xf numFmtId="0" fontId="0" fillId="0" borderId="20" xfId="0" applyBorder="1" applyAlignment="1" applyProtection="1">
      <alignment horizontal="center" wrapText="1"/>
      <protection locked="0"/>
    </xf>
    <xf numFmtId="0" fontId="0" fillId="0" borderId="21" xfId="0" applyBorder="1" applyAlignment="1" applyProtection="1">
      <alignment horizontal="center" wrapText="1"/>
      <protection locked="0"/>
    </xf>
    <xf numFmtId="0" fontId="0" fillId="0" borderId="23"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3" fillId="3" borderId="23" xfId="0" applyFont="1" applyFill="1" applyBorder="1" applyAlignment="1">
      <alignment horizontal="left" vertical="top" wrapText="1"/>
    </xf>
    <xf numFmtId="0" fontId="3" fillId="3" borderId="20" xfId="0" applyFont="1" applyFill="1" applyBorder="1" applyAlignment="1">
      <alignment horizontal="left" vertical="top" wrapText="1"/>
    </xf>
    <xf numFmtId="0" fontId="3" fillId="3" borderId="21" xfId="0" applyFont="1" applyFill="1" applyBorder="1" applyAlignment="1">
      <alignment horizontal="left" vertical="top" wrapText="1"/>
    </xf>
    <xf numFmtId="0" fontId="3" fillId="0" borderId="2" xfId="0" applyFont="1" applyBorder="1"/>
    <xf numFmtId="0" fontId="0" fillId="0" borderId="0" xfId="0"/>
    <xf numFmtId="0" fontId="7" fillId="0" borderId="18" xfId="0" applyFont="1" applyBorder="1" applyAlignment="1" applyProtection="1">
      <alignment horizontal="left"/>
      <protection locked="0"/>
    </xf>
    <xf numFmtId="0" fontId="3" fillId="0" borderId="0" xfId="0" applyFont="1" applyAlignment="1">
      <alignment horizontal="center"/>
    </xf>
    <xf numFmtId="0" fontId="0" fillId="0" borderId="0" xfId="0" applyAlignment="1" applyProtection="1">
      <alignment horizontal="left"/>
      <protection locked="0"/>
    </xf>
    <xf numFmtId="0" fontId="3" fillId="0" borderId="0" xfId="0" applyFont="1" applyAlignment="1">
      <alignment horizontal="left"/>
    </xf>
    <xf numFmtId="0" fontId="7" fillId="0" borderId="36" xfId="0" applyFont="1" applyBorder="1" applyAlignment="1">
      <alignment horizontal="left" vertical="top" wrapText="1" indent="1"/>
    </xf>
    <xf numFmtId="0" fontId="7" fillId="0" borderId="0" xfId="0" applyFont="1" applyAlignment="1">
      <alignment horizontal="left" vertical="top" wrapText="1" indent="1"/>
    </xf>
    <xf numFmtId="0" fontId="7" fillId="0" borderId="35" xfId="0" applyFont="1" applyBorder="1" applyAlignment="1">
      <alignment horizontal="left" vertical="top" wrapText="1" indent="1"/>
    </xf>
    <xf numFmtId="0" fontId="7" fillId="0" borderId="37" xfId="0" applyFont="1" applyBorder="1" applyAlignment="1">
      <alignment horizontal="left" vertical="top" wrapText="1" indent="1"/>
    </xf>
    <xf numFmtId="0" fontId="7" fillId="0" borderId="33" xfId="0" applyFont="1" applyBorder="1" applyAlignment="1">
      <alignment horizontal="left" vertical="top" wrapText="1" indent="1"/>
    </xf>
    <xf numFmtId="0" fontId="7" fillId="0" borderId="38" xfId="0" applyFont="1" applyBorder="1" applyAlignment="1">
      <alignment horizontal="left" vertical="top" wrapText="1" indent="1"/>
    </xf>
    <xf numFmtId="0" fontId="7" fillId="0" borderId="0" xfId="0" applyFont="1" applyAlignment="1">
      <alignment vertical="top" wrapText="1"/>
    </xf>
    <xf numFmtId="0" fontId="7" fillId="0" borderId="0" xfId="0" applyFont="1" applyAlignment="1">
      <alignment horizontal="left" vertical="top" wrapText="1"/>
    </xf>
    <xf numFmtId="0" fontId="25" fillId="0" borderId="0" xfId="0" applyFont="1" applyAlignment="1">
      <alignment horizontal="center"/>
    </xf>
    <xf numFmtId="0" fontId="0" fillId="0" borderId="36" xfId="0" applyBorder="1" applyAlignment="1">
      <alignment horizontal="left" vertical="top" wrapText="1" indent="1"/>
    </xf>
    <xf numFmtId="0" fontId="0" fillId="0" borderId="0" xfId="0" applyAlignment="1">
      <alignment horizontal="left" vertical="top" wrapText="1" indent="1"/>
    </xf>
    <xf numFmtId="0" fontId="0" fillId="0" borderId="35" xfId="0" applyBorder="1" applyAlignment="1">
      <alignment horizontal="left" vertical="top" wrapText="1" indent="1"/>
    </xf>
    <xf numFmtId="0" fontId="0" fillId="0" borderId="37" xfId="0" applyBorder="1" applyAlignment="1">
      <alignment horizontal="left" vertical="top" wrapText="1" indent="1"/>
    </xf>
    <xf numFmtId="0" fontId="0" fillId="0" borderId="33" xfId="0" applyBorder="1" applyAlignment="1">
      <alignment horizontal="left" vertical="top" wrapText="1" indent="1"/>
    </xf>
    <xf numFmtId="0" fontId="0" fillId="0" borderId="38" xfId="0" applyBorder="1" applyAlignment="1">
      <alignment horizontal="left" vertical="top" wrapText="1" indent="1"/>
    </xf>
    <xf numFmtId="0" fontId="24" fillId="0" borderId="36" xfId="0" applyFont="1" applyBorder="1" applyAlignment="1">
      <alignment horizontal="center"/>
    </xf>
    <xf numFmtId="0" fontId="24" fillId="0" borderId="0" xfId="0" applyFont="1" applyAlignment="1">
      <alignment horizontal="center"/>
    </xf>
    <xf numFmtId="0" fontId="24" fillId="0" borderId="35" xfId="0" applyFont="1" applyBorder="1" applyAlignment="1">
      <alignment horizontal="center"/>
    </xf>
    <xf numFmtId="0" fontId="5" fillId="0" borderId="0" xfId="0" applyFont="1" applyAlignment="1">
      <alignment horizontal="left" vertical="center" indent="2"/>
    </xf>
    <xf numFmtId="0" fontId="5" fillId="0" borderId="0" xfId="0" applyFont="1" applyAlignment="1">
      <alignment horizontal="center" vertical="center"/>
    </xf>
    <xf numFmtId="0" fontId="7" fillId="0" borderId="18" xfId="0" quotePrefix="1" applyFont="1" applyBorder="1" applyAlignment="1">
      <alignment horizontal="left"/>
    </xf>
    <xf numFmtId="0" fontId="7" fillId="0" borderId="18" xfId="0" applyFont="1" applyBorder="1" applyAlignment="1">
      <alignment horizontal="left"/>
    </xf>
    <xf numFmtId="0" fontId="7" fillId="0" borderId="36" xfId="0" applyFont="1" applyBorder="1" applyAlignment="1">
      <alignment horizontal="center" wrapText="1"/>
    </xf>
    <xf numFmtId="0" fontId="7" fillId="0" borderId="0" xfId="0" applyFont="1" applyAlignment="1">
      <alignment horizontal="center" wrapText="1"/>
    </xf>
    <xf numFmtId="0" fontId="7" fillId="0" borderId="20" xfId="0" applyFont="1" applyBorder="1" applyAlignment="1">
      <alignment horizontal="left" wrapText="1"/>
    </xf>
    <xf numFmtId="0" fontId="7" fillId="0" borderId="0" xfId="0" quotePrefix="1" applyFont="1" applyAlignment="1">
      <alignment horizontal="left"/>
    </xf>
    <xf numFmtId="0" fontId="7" fillId="0" borderId="0" xfId="0" applyFont="1" applyAlignment="1">
      <alignment horizontal="left"/>
    </xf>
    <xf numFmtId="0" fontId="7" fillId="0" borderId="35" xfId="0" applyFont="1" applyBorder="1" applyAlignment="1">
      <alignment horizontal="left"/>
    </xf>
    <xf numFmtId="0" fontId="27" fillId="0" borderId="0" xfId="0" applyFont="1"/>
    <xf numFmtId="0" fontId="5" fillId="0" borderId="0" xfId="0" applyFont="1" applyAlignment="1">
      <alignment horizontal="left" vertical="center" indent="3"/>
    </xf>
    <xf numFmtId="0" fontId="5" fillId="0" borderId="0" xfId="0" applyFont="1" applyAlignment="1">
      <alignment horizontal="left"/>
    </xf>
    <xf numFmtId="0" fontId="5" fillId="0" borderId="35" xfId="0" applyFont="1" applyBorder="1" applyAlignment="1">
      <alignment horizontal="left"/>
    </xf>
    <xf numFmtId="3" fontId="7" fillId="0" borderId="18" xfId="0" applyNumberFormat="1" applyFont="1" applyBorder="1" applyAlignment="1">
      <alignment horizontal="left" wrapText="1"/>
    </xf>
    <xf numFmtId="0" fontId="7" fillId="0" borderId="18" xfId="0" applyFont="1" applyBorder="1" applyAlignment="1">
      <alignment horizontal="left" wrapText="1"/>
    </xf>
    <xf numFmtId="0" fontId="5" fillId="0" borderId="0" xfId="0" applyFont="1" applyAlignment="1">
      <alignment horizontal="left" indent="1"/>
    </xf>
    <xf numFmtId="0" fontId="5" fillId="0" borderId="35" xfId="0" applyFont="1" applyBorder="1" applyAlignment="1">
      <alignment horizontal="left" indent="1"/>
    </xf>
    <xf numFmtId="0" fontId="10" fillId="0" borderId="0" xfId="0" applyFont="1"/>
    <xf numFmtId="0" fontId="8" fillId="0" borderId="0" xfId="0" applyFont="1" applyAlignment="1">
      <alignment horizontal="center"/>
    </xf>
    <xf numFmtId="0" fontId="36" fillId="0" borderId="0" xfId="0" applyFont="1" applyAlignment="1">
      <alignment horizontal="left" vertical="top" wrapText="1"/>
    </xf>
    <xf numFmtId="0" fontId="3" fillId="0" borderId="0" xfId="0" applyFont="1" applyAlignment="1">
      <alignment horizontal="right"/>
    </xf>
    <xf numFmtId="0" fontId="7" fillId="0" borderId="20" xfId="0" applyFont="1" applyBorder="1" applyAlignment="1" applyProtection="1">
      <alignment horizontal="left"/>
      <protection locked="0"/>
    </xf>
    <xf numFmtId="0" fontId="19" fillId="0" borderId="0" xfId="0" applyFont="1" applyAlignment="1">
      <alignment horizontal="right"/>
    </xf>
    <xf numFmtId="0" fontId="10" fillId="0" borderId="0" xfId="0" applyFont="1" applyAlignment="1">
      <alignment horizontal="left"/>
    </xf>
    <xf numFmtId="0" fontId="4" fillId="0" borderId="18" xfId="2" applyBorder="1" applyAlignment="1" applyProtection="1">
      <alignment horizontal="left"/>
      <protection locked="0"/>
    </xf>
    <xf numFmtId="49" fontId="7" fillId="0" borderId="18" xfId="0" applyNumberFormat="1" applyFont="1" applyBorder="1" applyAlignment="1" applyProtection="1">
      <alignment horizontal="left"/>
      <protection locked="0"/>
    </xf>
    <xf numFmtId="49" fontId="7" fillId="0" borderId="20" xfId="0" applyNumberFormat="1" applyFont="1" applyBorder="1" applyAlignment="1" applyProtection="1">
      <alignment horizontal="left"/>
      <protection locked="0"/>
    </xf>
    <xf numFmtId="0" fontId="5" fillId="0" borderId="0" xfId="0" applyFont="1" applyAlignment="1">
      <alignment horizontal="center"/>
    </xf>
    <xf numFmtId="0" fontId="5" fillId="0" borderId="0" xfId="0" applyFont="1" applyAlignment="1">
      <alignment horizontal="center" wrapText="1"/>
    </xf>
    <xf numFmtId="0" fontId="4" fillId="0" borderId="20" xfId="2" applyBorder="1" applyAlignment="1" applyProtection="1">
      <alignment horizontal="left"/>
      <protection locked="0"/>
    </xf>
    <xf numFmtId="0" fontId="3" fillId="0" borderId="18" xfId="0" applyFont="1" applyBorder="1" applyAlignment="1">
      <alignment vertical="center" wrapText="1"/>
    </xf>
    <xf numFmtId="0" fontId="11" fillId="0" borderId="18" xfId="0" applyFont="1" applyBorder="1" applyAlignment="1">
      <alignment vertical="center" wrapText="1"/>
    </xf>
    <xf numFmtId="0" fontId="3" fillId="2" borderId="23" xfId="0" applyFont="1" applyFill="1" applyBorder="1" applyAlignment="1">
      <alignment horizontal="left" vertical="center"/>
    </xf>
    <xf numFmtId="0" fontId="3" fillId="2" borderId="20" xfId="0" applyFont="1" applyFill="1" applyBorder="1" applyAlignment="1">
      <alignment horizontal="left" vertical="center"/>
    </xf>
    <xf numFmtId="0" fontId="3" fillId="0" borderId="23"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26" fillId="0" borderId="0" xfId="0" applyFont="1" applyAlignment="1">
      <alignment horizontal="left" wrapText="1"/>
    </xf>
    <xf numFmtId="0" fontId="7" fillId="0" borderId="0" xfId="0" applyFont="1" applyAlignment="1">
      <alignment wrapText="1"/>
    </xf>
    <xf numFmtId="0" fontId="0" fillId="0" borderId="18" xfId="0" applyBorder="1" applyAlignment="1" applyProtection="1">
      <alignment horizontal="left"/>
      <protection locked="0"/>
    </xf>
    <xf numFmtId="0" fontId="11" fillId="0" borderId="24" xfId="0" applyFont="1" applyBorder="1" applyAlignment="1">
      <alignment vertical="center"/>
    </xf>
    <xf numFmtId="0" fontId="11" fillId="0" borderId="0" xfId="0" applyFont="1" applyAlignment="1">
      <alignment vertical="center"/>
    </xf>
    <xf numFmtId="0" fontId="3" fillId="2" borderId="23" xfId="0" applyFont="1" applyFill="1" applyBorder="1" applyAlignment="1">
      <alignment vertical="center"/>
    </xf>
    <xf numFmtId="0" fontId="3" fillId="2" borderId="20" xfId="0" applyFont="1" applyFill="1" applyBorder="1" applyAlignment="1">
      <alignment vertical="center"/>
    </xf>
    <xf numFmtId="0" fontId="3" fillId="2" borderId="21" xfId="0" applyFont="1" applyFill="1" applyBorder="1" applyAlignment="1">
      <alignment vertical="center"/>
    </xf>
    <xf numFmtId="0" fontId="11" fillId="0" borderId="23" xfId="0" applyFont="1" applyBorder="1" applyAlignment="1">
      <alignment vertical="center" wrapText="1"/>
    </xf>
    <xf numFmtId="0" fontId="11" fillId="0" borderId="20" xfId="0" applyFont="1" applyBorder="1" applyAlignment="1">
      <alignment vertical="center" wrapText="1"/>
    </xf>
    <xf numFmtId="0" fontId="11" fillId="0" borderId="21" xfId="0" applyFont="1" applyBorder="1" applyAlignment="1">
      <alignment vertical="center" wrapText="1"/>
    </xf>
    <xf numFmtId="0" fontId="11" fillId="0" borderId="0" xfId="0" applyFont="1" applyAlignment="1">
      <alignment vertical="center" wrapText="1"/>
    </xf>
    <xf numFmtId="0" fontId="15" fillId="0" borderId="24" xfId="0" applyFont="1" applyBorder="1" applyAlignment="1">
      <alignment vertical="center" wrapText="1"/>
    </xf>
    <xf numFmtId="0" fontId="15" fillId="0" borderId="0" xfId="0" applyFont="1" applyAlignment="1">
      <alignment vertical="center" wrapText="1"/>
    </xf>
    <xf numFmtId="0" fontId="12" fillId="0" borderId="23"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6" fillId="0" borderId="24" xfId="0" applyFont="1" applyBorder="1" applyAlignment="1">
      <alignment vertical="center" wrapText="1"/>
    </xf>
    <xf numFmtId="0" fontId="12" fillId="0" borderId="24" xfId="0" applyFont="1" applyBorder="1" applyAlignment="1">
      <alignment horizontal="left" vertical="top" wrapText="1"/>
    </xf>
    <xf numFmtId="0" fontId="3" fillId="2" borderId="23" xfId="0" applyFont="1" applyFill="1" applyBorder="1" applyAlignment="1">
      <alignment vertical="center" wrapText="1"/>
    </xf>
    <xf numFmtId="0" fontId="3" fillId="2" borderId="20" xfId="0" applyFont="1" applyFill="1" applyBorder="1" applyAlignment="1">
      <alignment vertical="center" wrapText="1"/>
    </xf>
    <xf numFmtId="0" fontId="3" fillId="2" borderId="2" xfId="0" applyFont="1" applyFill="1" applyBorder="1" applyAlignment="1">
      <alignment vertical="center" wrapText="1"/>
    </xf>
    <xf numFmtId="0" fontId="3" fillId="2" borderId="21" xfId="0" applyFont="1" applyFill="1" applyBorder="1" applyAlignment="1">
      <alignment vertical="center" wrapText="1"/>
    </xf>
    <xf numFmtId="0" fontId="17" fillId="0" borderId="23" xfId="0" applyFont="1" applyBorder="1" applyAlignment="1">
      <alignment horizontal="left" vertical="center" wrapText="1"/>
    </xf>
    <xf numFmtId="0" fontId="17" fillId="0" borderId="20" xfId="0" applyFont="1" applyBorder="1" applyAlignment="1">
      <alignment horizontal="left" vertical="center" wrapText="1"/>
    </xf>
    <xf numFmtId="0" fontId="17" fillId="0" borderId="23" xfId="0" applyFont="1" applyBorder="1" applyAlignment="1">
      <alignment horizontal="left" vertical="center"/>
    </xf>
    <xf numFmtId="0" fontId="17" fillId="0" borderId="20" xfId="0" applyFont="1" applyBorder="1" applyAlignment="1">
      <alignment horizontal="left" vertical="center"/>
    </xf>
    <xf numFmtId="0" fontId="3" fillId="2" borderId="21" xfId="0" applyFont="1" applyFill="1" applyBorder="1" applyAlignment="1">
      <alignment horizontal="left" vertical="center"/>
    </xf>
    <xf numFmtId="0" fontId="0" fillId="2" borderId="23" xfId="0" applyFill="1" applyBorder="1" applyAlignment="1">
      <alignment horizontal="center"/>
    </xf>
    <xf numFmtId="0" fontId="0" fillId="2" borderId="21" xfId="0" applyFill="1" applyBorder="1" applyAlignment="1">
      <alignment horizontal="center"/>
    </xf>
    <xf numFmtId="0" fontId="0" fillId="0" borderId="25" xfId="0" applyBorder="1" applyAlignment="1">
      <alignment horizontal="center" vertical="center"/>
    </xf>
    <xf numFmtId="0" fontId="0" fillId="0" borderId="30" xfId="0" applyBorder="1" applyAlignment="1">
      <alignment horizontal="center" vertical="center"/>
    </xf>
    <xf numFmtId="0" fontId="19" fillId="0" borderId="1" xfId="0" applyFont="1" applyBorder="1" applyAlignment="1">
      <alignment horizontal="left" vertical="top" wrapText="1"/>
    </xf>
    <xf numFmtId="0" fontId="19" fillId="0" borderId="2" xfId="0" applyFont="1" applyBorder="1" applyAlignment="1">
      <alignment horizontal="left" vertical="top" wrapText="1"/>
    </xf>
    <xf numFmtId="0" fontId="19" fillId="0" borderId="5" xfId="0" applyFont="1" applyBorder="1" applyAlignment="1">
      <alignment horizontal="left" vertical="top" wrapText="1"/>
    </xf>
    <xf numFmtId="0" fontId="19" fillId="0" borderId="22" xfId="0" applyFont="1" applyBorder="1" applyAlignment="1">
      <alignment horizontal="left" vertical="top" wrapText="1"/>
    </xf>
    <xf numFmtId="0" fontId="19" fillId="0" borderId="18" xfId="0" applyFont="1" applyBorder="1" applyAlignment="1">
      <alignment horizontal="left" vertical="top" wrapText="1"/>
    </xf>
    <xf numFmtId="0" fontId="19" fillId="0" borderId="19" xfId="0" applyFont="1" applyBorder="1" applyAlignment="1">
      <alignment horizontal="left" vertical="top" wrapText="1"/>
    </xf>
    <xf numFmtId="165" fontId="3" fillId="0" borderId="1" xfId="0" applyNumberFormat="1" applyFont="1" applyBorder="1" applyAlignment="1">
      <alignment horizontal="center" wrapText="1"/>
    </xf>
    <xf numFmtId="165" fontId="3" fillId="0" borderId="5" xfId="0" applyNumberFormat="1" applyFont="1" applyBorder="1" applyAlignment="1">
      <alignment horizontal="center" wrapText="1"/>
    </xf>
    <xf numFmtId="165" fontId="3" fillId="0" borderId="22" xfId="0" applyNumberFormat="1" applyFont="1" applyBorder="1" applyAlignment="1">
      <alignment horizontal="center" wrapText="1"/>
    </xf>
    <xf numFmtId="165" fontId="3" fillId="0" borderId="19" xfId="0" applyNumberFormat="1" applyFont="1" applyBorder="1" applyAlignment="1">
      <alignment horizontal="center" wrapText="1"/>
    </xf>
    <xf numFmtId="0" fontId="11" fillId="0" borderId="24" xfId="0" applyFont="1" applyBorder="1" applyAlignment="1">
      <alignment vertical="center" wrapText="1"/>
    </xf>
    <xf numFmtId="0" fontId="11" fillId="0" borderId="30" xfId="0" applyFont="1" applyBorder="1" applyAlignment="1">
      <alignment vertical="center" wrapText="1"/>
    </xf>
    <xf numFmtId="0" fontId="3" fillId="3" borderId="23"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11" fillId="0" borderId="0" xfId="0" applyFont="1" applyAlignment="1">
      <alignment vertical="top" wrapText="1"/>
    </xf>
    <xf numFmtId="0" fontId="11" fillId="0" borderId="23" xfId="0" applyFont="1" applyBorder="1" applyAlignment="1">
      <alignment horizontal="left" vertical="top" wrapText="1"/>
    </xf>
    <xf numFmtId="0" fontId="11" fillId="0" borderId="20" xfId="0" applyFont="1" applyBorder="1" applyAlignment="1">
      <alignment horizontal="left" vertical="top" wrapText="1"/>
    </xf>
    <xf numFmtId="0" fontId="11" fillId="0" borderId="29" xfId="0" applyFont="1" applyBorder="1" applyAlignment="1">
      <alignment horizontal="left" vertical="top" wrapText="1"/>
    </xf>
    <xf numFmtId="0" fontId="18"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vertical="center" wrapText="1"/>
    </xf>
    <xf numFmtId="0" fontId="0" fillId="0" borderId="24" xfId="0" applyBorder="1" applyAlignment="1">
      <alignment vertical="center" wrapText="1"/>
    </xf>
    <xf numFmtId="0" fontId="13" fillId="2" borderId="25" xfId="0" applyFont="1" applyFill="1" applyBorder="1" applyAlignment="1">
      <alignment horizontal="center" vertical="center" textRotation="255"/>
    </xf>
    <xf numFmtId="0" fontId="13" fillId="2" borderId="26" xfId="0" applyFont="1" applyFill="1" applyBorder="1" applyAlignment="1">
      <alignment horizontal="center" vertical="center" textRotation="255"/>
    </xf>
    <xf numFmtId="0" fontId="13" fillId="2" borderId="30" xfId="0" applyFont="1" applyFill="1" applyBorder="1" applyAlignment="1">
      <alignment horizontal="center" vertical="center" textRotation="255"/>
    </xf>
    <xf numFmtId="0" fontId="3" fillId="2" borderId="26" xfId="0" applyFont="1" applyFill="1" applyBorder="1" applyAlignment="1">
      <alignment vertical="center"/>
    </xf>
    <xf numFmtId="0" fontId="11" fillId="0" borderId="24" xfId="0" applyFont="1" applyBorder="1" applyAlignment="1">
      <alignment vertical="top" wrapText="1"/>
    </xf>
    <xf numFmtId="0" fontId="35" fillId="0" borderId="22" xfId="2" applyFont="1" applyBorder="1" applyAlignment="1">
      <alignment horizontal="left"/>
    </xf>
    <xf numFmtId="0" fontId="35" fillId="0" borderId="18" xfId="2" applyFont="1" applyBorder="1" applyAlignment="1">
      <alignment horizontal="left"/>
    </xf>
    <xf numFmtId="0" fontId="35" fillId="0" borderId="20" xfId="2" applyFont="1" applyBorder="1" applyAlignment="1">
      <alignment horizontal="left"/>
    </xf>
    <xf numFmtId="0" fontId="35" fillId="0" borderId="21" xfId="2" applyFont="1" applyBorder="1" applyAlignment="1">
      <alignment horizontal="left"/>
    </xf>
    <xf numFmtId="0" fontId="0" fillId="5" borderId="23" xfId="0" applyFill="1" applyBorder="1" applyAlignment="1">
      <alignment horizontal="left"/>
    </xf>
    <xf numFmtId="0" fontId="0" fillId="5" borderId="20" xfId="0" applyFill="1" applyBorder="1" applyAlignment="1">
      <alignment horizontal="left"/>
    </xf>
    <xf numFmtId="0" fontId="0" fillId="5" borderId="21" xfId="0" applyFill="1" applyBorder="1" applyAlignment="1">
      <alignment horizontal="left"/>
    </xf>
    <xf numFmtId="0" fontId="3" fillId="0" borderId="24" xfId="0" applyFont="1" applyBorder="1" applyAlignment="1">
      <alignment vertical="center"/>
    </xf>
    <xf numFmtId="0" fontId="3" fillId="0" borderId="16" xfId="0" applyFont="1" applyBorder="1" applyAlignment="1">
      <alignment horizontal="center"/>
    </xf>
    <xf numFmtId="0" fontId="3" fillId="0" borderId="17" xfId="0" applyFont="1" applyBorder="1" applyAlignment="1">
      <alignment horizontal="center"/>
    </xf>
    <xf numFmtId="0" fontId="5" fillId="0" borderId="22" xfId="0" applyFont="1" applyBorder="1" applyAlignment="1">
      <alignment horizontal="left" wrapText="1"/>
    </xf>
    <xf numFmtId="0" fontId="5" fillId="0" borderId="19" xfId="0" applyFont="1" applyBorder="1" applyAlignment="1">
      <alignment horizontal="left" wrapText="1"/>
    </xf>
    <xf numFmtId="0" fontId="5" fillId="0" borderId="23" xfId="0" applyFont="1" applyBorder="1" applyAlignment="1">
      <alignment horizontal="left"/>
    </xf>
    <xf numFmtId="0" fontId="5" fillId="0" borderId="21" xfId="0" applyFont="1" applyBorder="1" applyAlignment="1">
      <alignment horizontal="left"/>
    </xf>
    <xf numFmtId="0" fontId="3" fillId="0" borderId="20" xfId="0" applyFont="1" applyBorder="1" applyAlignment="1">
      <alignment horizontal="left"/>
    </xf>
    <xf numFmtId="0" fontId="3" fillId="0" borderId="21" xfId="0" applyFont="1" applyBorder="1" applyAlignment="1">
      <alignment horizontal="left"/>
    </xf>
    <xf numFmtId="0" fontId="3" fillId="0" borderId="23" xfId="0" applyFont="1" applyBorder="1" applyAlignment="1">
      <alignment horizontal="left" vertical="center" wrapText="1"/>
    </xf>
    <xf numFmtId="0" fontId="3" fillId="0" borderId="20" xfId="0" applyFont="1" applyBorder="1" applyAlignment="1">
      <alignment horizontal="left" vertical="center" wrapText="1"/>
    </xf>
    <xf numFmtId="0" fontId="7" fillId="0" borderId="24" xfId="0" applyFont="1"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2" xfId="0" applyFont="1" applyBorder="1" applyAlignment="1">
      <alignment horizontal="center" vertical="distributed"/>
    </xf>
    <xf numFmtId="0" fontId="6" fillId="0" borderId="3" xfId="0" applyFont="1" applyBorder="1" applyAlignment="1">
      <alignment horizontal="center" vertical="distributed"/>
    </xf>
    <xf numFmtId="0" fontId="5" fillId="0" borderId="4" xfId="0" applyFont="1" applyBorder="1" applyAlignment="1">
      <alignment horizontal="center" vertical="center"/>
    </xf>
    <xf numFmtId="0" fontId="5" fillId="0" borderId="5" xfId="0" applyFont="1" applyBorder="1" applyAlignment="1">
      <alignment horizontal="center" vertical="center"/>
    </xf>
    <xf numFmtId="164" fontId="7" fillId="0" borderId="6" xfId="0" applyNumberFormat="1" applyFont="1" applyBorder="1" applyAlignment="1" applyProtection="1">
      <alignment horizontal="center" vertical="center"/>
      <protection locked="0"/>
    </xf>
    <xf numFmtId="164" fontId="7" fillId="0" borderId="7" xfId="0" applyNumberFormat="1" applyFont="1" applyBorder="1" applyAlignment="1" applyProtection="1">
      <alignment horizontal="center" vertical="center"/>
      <protection locked="0"/>
    </xf>
    <xf numFmtId="164" fontId="7" fillId="0" borderId="8" xfId="0" applyNumberFormat="1" applyFont="1" applyBorder="1" applyAlignment="1" applyProtection="1">
      <alignment horizontal="center" vertical="center"/>
      <protection locked="0"/>
    </xf>
    <xf numFmtId="0" fontId="8" fillId="0" borderId="7" xfId="0" applyFont="1" applyBorder="1" applyAlignment="1">
      <alignment horizontal="center" vertical="top"/>
    </xf>
    <xf numFmtId="0" fontId="8" fillId="0" borderId="8" xfId="0" applyFont="1" applyBorder="1" applyAlignment="1">
      <alignment horizontal="center" vertical="top"/>
    </xf>
    <xf numFmtId="0" fontId="7" fillId="0" borderId="9" xfId="0" applyFont="1" applyBorder="1" applyAlignment="1" applyProtection="1">
      <alignment horizontal="center"/>
      <protection locked="0"/>
    </xf>
    <xf numFmtId="0" fontId="7" fillId="0" borderId="7" xfId="0" applyFont="1" applyBorder="1" applyAlignment="1" applyProtection="1">
      <alignment horizontal="center"/>
      <protection locked="0"/>
    </xf>
    <xf numFmtId="0" fontId="7" fillId="0" borderId="10" xfId="0" applyFont="1" applyBorder="1" applyAlignment="1" applyProtection="1">
      <alignment horizontal="center"/>
      <protection locked="0"/>
    </xf>
    <xf numFmtId="49" fontId="9" fillId="0" borderId="0" xfId="0" applyNumberFormat="1" applyFont="1" applyAlignment="1">
      <alignment horizontal="center" vertical="center" wrapText="1"/>
    </xf>
    <xf numFmtId="49" fontId="9" fillId="0" borderId="0" xfId="0" applyNumberFormat="1" applyFont="1" applyAlignment="1">
      <alignment horizontal="center" wrapText="1"/>
    </xf>
    <xf numFmtId="0" fontId="9" fillId="0" borderId="33" xfId="0" applyFont="1" applyBorder="1" applyAlignment="1">
      <alignment horizontal="center"/>
    </xf>
    <xf numFmtId="0" fontId="30"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30"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30" xfId="0" applyFont="1" applyBorder="1" applyAlignment="1">
      <alignment horizontal="center" vertical="center" wrapText="1"/>
    </xf>
  </cellXfs>
  <cellStyles count="4">
    <cellStyle name="Comma" xfId="1" builtinId="3"/>
    <cellStyle name="Currency" xfId="3" builtinId="4"/>
    <cellStyle name="Hyperlink" xfId="2" builtinId="8"/>
    <cellStyle name="Normal" xfId="0" builtinId="0"/>
  </cellStyles>
  <dxfs count="15">
    <dxf>
      <fill>
        <patternFill>
          <bgColor theme="0" tint="-0.24994659260841701"/>
        </patternFill>
      </fill>
    </dxf>
    <dxf>
      <fill>
        <patternFill>
          <bgColor theme="5" tint="0.59996337778862885"/>
        </patternFill>
      </fill>
    </dxf>
    <dxf>
      <fill>
        <patternFill>
          <bgColor theme="4" tint="0.79998168889431442"/>
        </patternFill>
      </fill>
    </dxf>
    <dxf>
      <fill>
        <patternFill>
          <bgColor theme="5" tint="0.59996337778862885"/>
        </patternFill>
      </fill>
    </dxf>
    <dxf>
      <fill>
        <patternFill>
          <bgColor theme="4" tint="0.79998168889431442"/>
        </patternFill>
      </fill>
    </dxf>
    <dxf>
      <fill>
        <patternFill>
          <bgColor theme="0" tint="-0.24994659260841701"/>
        </patternFill>
      </fill>
    </dxf>
    <dxf>
      <fill>
        <patternFill>
          <bgColor theme="5" tint="0.59996337778862885"/>
        </patternFill>
      </fill>
    </dxf>
    <dxf>
      <fill>
        <patternFill>
          <bgColor theme="4" tint="0.79998168889431442"/>
        </patternFill>
      </fill>
    </dxf>
    <dxf>
      <fill>
        <patternFill>
          <bgColor theme="5" tint="0.59996337778862885"/>
        </patternFill>
      </fill>
    </dxf>
    <dxf>
      <fill>
        <patternFill>
          <bgColor theme="4" tint="0.79998168889431442"/>
        </patternFill>
      </fill>
    </dxf>
    <dxf>
      <fill>
        <patternFill>
          <bgColor theme="0" tint="-0.24994659260841701"/>
        </patternFill>
      </fill>
    </dxf>
    <dxf>
      <fill>
        <patternFill>
          <bgColor theme="5" tint="0.59996337778862885"/>
        </patternFill>
      </fill>
    </dxf>
    <dxf>
      <fill>
        <patternFill>
          <bgColor theme="4" tint="0.79998168889431442"/>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461596</xdr:colOff>
      <xdr:row>42</xdr:row>
      <xdr:rowOff>109903</xdr:rowOff>
    </xdr:from>
    <xdr:to>
      <xdr:col>14</xdr:col>
      <xdr:colOff>245745</xdr:colOff>
      <xdr:row>42</xdr:row>
      <xdr:rowOff>116205</xdr:rowOff>
    </xdr:to>
    <xdr:cxnSp macro="">
      <xdr:nvCxnSpPr>
        <xdr:cNvPr id="2" name="Straight Arrow Connector 1">
          <a:extLst>
            <a:ext uri="{FF2B5EF4-FFF2-40B4-BE49-F238E27FC236}">
              <a16:creationId xmlns:a16="http://schemas.microsoft.com/office/drawing/2014/main" id="{00000000-0008-0000-0100-000002000000}"/>
            </a:ext>
          </a:extLst>
        </xdr:cNvPr>
        <xdr:cNvCxnSpPr/>
      </xdr:nvCxnSpPr>
      <xdr:spPr>
        <a:xfrm>
          <a:off x="3798521" y="15394353"/>
          <a:ext cx="3257599" cy="9477"/>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505240</xdr:colOff>
      <xdr:row>43</xdr:row>
      <xdr:rowOff>140805</xdr:rowOff>
    </xdr:from>
    <xdr:to>
      <xdr:col>14</xdr:col>
      <xdr:colOff>255270</xdr:colOff>
      <xdr:row>43</xdr:row>
      <xdr:rowOff>142877</xdr:rowOff>
    </xdr:to>
    <xdr:cxnSp macro="">
      <xdr:nvCxnSpPr>
        <xdr:cNvPr id="3" name="Straight Arrow Connector 2">
          <a:extLst>
            <a:ext uri="{FF2B5EF4-FFF2-40B4-BE49-F238E27FC236}">
              <a16:creationId xmlns:a16="http://schemas.microsoft.com/office/drawing/2014/main" id="{00000000-0008-0000-0100-000003000000}"/>
            </a:ext>
          </a:extLst>
        </xdr:cNvPr>
        <xdr:cNvCxnSpPr/>
      </xdr:nvCxnSpPr>
      <xdr:spPr>
        <a:xfrm>
          <a:off x="5740815" y="15660205"/>
          <a:ext cx="1328005" cy="0"/>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298174</xdr:colOff>
      <xdr:row>44</xdr:row>
      <xdr:rowOff>115956</xdr:rowOff>
    </xdr:from>
    <xdr:to>
      <xdr:col>14</xdr:col>
      <xdr:colOff>245749</xdr:colOff>
      <xdr:row>44</xdr:row>
      <xdr:rowOff>123828</xdr:rowOff>
    </xdr:to>
    <xdr:cxnSp macro="">
      <xdr:nvCxnSpPr>
        <xdr:cNvPr id="4" name="Straight Arrow Connector 3">
          <a:extLst>
            <a:ext uri="{FF2B5EF4-FFF2-40B4-BE49-F238E27FC236}">
              <a16:creationId xmlns:a16="http://schemas.microsoft.com/office/drawing/2014/main" id="{00000000-0008-0000-0100-000004000000}"/>
            </a:ext>
          </a:extLst>
        </xdr:cNvPr>
        <xdr:cNvCxnSpPr/>
      </xdr:nvCxnSpPr>
      <xdr:spPr>
        <a:xfrm>
          <a:off x="3628749" y="15860781"/>
          <a:ext cx="3427375" cy="4697"/>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8283</xdr:colOff>
      <xdr:row>45</xdr:row>
      <xdr:rowOff>114303</xdr:rowOff>
    </xdr:from>
    <xdr:to>
      <xdr:col>14</xdr:col>
      <xdr:colOff>245763</xdr:colOff>
      <xdr:row>45</xdr:row>
      <xdr:rowOff>115957</xdr:rowOff>
    </xdr:to>
    <xdr:cxnSp macro="">
      <xdr:nvCxnSpPr>
        <xdr:cNvPr id="5" name="Straight Arrow Connector 4">
          <a:extLst>
            <a:ext uri="{FF2B5EF4-FFF2-40B4-BE49-F238E27FC236}">
              <a16:creationId xmlns:a16="http://schemas.microsoft.com/office/drawing/2014/main" id="{00000000-0008-0000-0100-000005000000}"/>
            </a:ext>
          </a:extLst>
        </xdr:cNvPr>
        <xdr:cNvCxnSpPr/>
      </xdr:nvCxnSpPr>
      <xdr:spPr>
        <a:xfrm flipV="1">
          <a:off x="5250208" y="16087728"/>
          <a:ext cx="1805930" cy="1654"/>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223631</xdr:colOff>
      <xdr:row>46</xdr:row>
      <xdr:rowOff>123830</xdr:rowOff>
    </xdr:from>
    <xdr:to>
      <xdr:col>14</xdr:col>
      <xdr:colOff>255288</xdr:colOff>
      <xdr:row>46</xdr:row>
      <xdr:rowOff>132522</xdr:rowOff>
    </xdr:to>
    <xdr:cxnSp macro="">
      <xdr:nvCxnSpPr>
        <xdr:cNvPr id="6" name="Straight Arrow Connector 5">
          <a:extLst>
            <a:ext uri="{FF2B5EF4-FFF2-40B4-BE49-F238E27FC236}">
              <a16:creationId xmlns:a16="http://schemas.microsoft.com/office/drawing/2014/main" id="{00000000-0008-0000-0100-000006000000}"/>
            </a:ext>
          </a:extLst>
        </xdr:cNvPr>
        <xdr:cNvCxnSpPr/>
      </xdr:nvCxnSpPr>
      <xdr:spPr>
        <a:xfrm flipV="1">
          <a:off x="5459206" y="16322680"/>
          <a:ext cx="1609632" cy="11867"/>
        </a:xfrm>
        <a:prstGeom prst="straightConnector1">
          <a:avLst/>
        </a:prstGeom>
        <a:noFill/>
        <a:ln w="12700" cap="flat" cmpd="sng" algn="ctr">
          <a:solidFill>
            <a:srgbClr val="FF0000"/>
          </a:solidFill>
          <a:prstDash val="solid"/>
          <a:tailEnd type="arrow"/>
        </a:ln>
        <a:effectLst/>
      </xdr:spPr>
    </xdr:cxnSp>
    <xdr:clientData/>
  </xdr:twoCellAnchor>
  <xdr:twoCellAnchor>
    <xdr:from>
      <xdr:col>5</xdr:col>
      <xdr:colOff>513521</xdr:colOff>
      <xdr:row>38</xdr:row>
      <xdr:rowOff>273326</xdr:rowOff>
    </xdr:from>
    <xdr:to>
      <xdr:col>8</xdr:col>
      <xdr:colOff>472107</xdr:colOff>
      <xdr:row>38</xdr:row>
      <xdr:rowOff>273328</xdr:rowOff>
    </xdr:to>
    <xdr:cxnSp macro="">
      <xdr:nvCxnSpPr>
        <xdr:cNvPr id="7" name="Straight Arrow Connector 6">
          <a:extLst>
            <a:ext uri="{FF2B5EF4-FFF2-40B4-BE49-F238E27FC236}">
              <a16:creationId xmlns:a16="http://schemas.microsoft.com/office/drawing/2014/main" id="{00000000-0008-0000-0100-000007000000}"/>
            </a:ext>
          </a:extLst>
        </xdr:cNvPr>
        <xdr:cNvCxnSpPr/>
      </xdr:nvCxnSpPr>
      <xdr:spPr>
        <a:xfrm>
          <a:off x="3190046" y="13935351"/>
          <a:ext cx="1146036" cy="2"/>
        </a:xfrm>
        <a:prstGeom prst="straightConnector1">
          <a:avLst/>
        </a:prstGeom>
        <a:ln w="127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9</xdr:col>
          <xdr:colOff>285750</xdr:colOff>
          <xdr:row>71</xdr:row>
          <xdr:rowOff>69850</xdr:rowOff>
        </xdr:from>
        <xdr:to>
          <xdr:col>9</xdr:col>
          <xdr:colOff>590550</xdr:colOff>
          <xdr:row>72</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69850</xdr:rowOff>
        </xdr:from>
        <xdr:to>
          <xdr:col>9</xdr:col>
          <xdr:colOff>590550</xdr:colOff>
          <xdr:row>73</xdr:row>
          <xdr:rowOff>95250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69850</xdr:rowOff>
        </xdr:from>
        <xdr:to>
          <xdr:col>9</xdr:col>
          <xdr:colOff>590550</xdr:colOff>
          <xdr:row>74</xdr:row>
          <xdr:rowOff>95250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74</xdr:row>
          <xdr:rowOff>69850</xdr:rowOff>
        </xdr:from>
        <xdr:to>
          <xdr:col>9</xdr:col>
          <xdr:colOff>590550</xdr:colOff>
          <xdr:row>75</xdr:row>
          <xdr:rowOff>95250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77</xdr:row>
          <xdr:rowOff>69850</xdr:rowOff>
        </xdr:from>
        <xdr:to>
          <xdr:col>9</xdr:col>
          <xdr:colOff>590550</xdr:colOff>
          <xdr:row>78</xdr:row>
          <xdr:rowOff>95250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78</xdr:row>
          <xdr:rowOff>69850</xdr:rowOff>
        </xdr:from>
        <xdr:to>
          <xdr:col>9</xdr:col>
          <xdr:colOff>590550</xdr:colOff>
          <xdr:row>79</xdr:row>
          <xdr:rowOff>95250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79</xdr:row>
          <xdr:rowOff>69850</xdr:rowOff>
        </xdr:from>
        <xdr:to>
          <xdr:col>9</xdr:col>
          <xdr:colOff>590550</xdr:colOff>
          <xdr:row>80</xdr:row>
          <xdr:rowOff>95250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82</xdr:row>
          <xdr:rowOff>69850</xdr:rowOff>
        </xdr:from>
        <xdr:to>
          <xdr:col>9</xdr:col>
          <xdr:colOff>590550</xdr:colOff>
          <xdr:row>83</xdr:row>
          <xdr:rowOff>95250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140</xdr:row>
          <xdr:rowOff>76200</xdr:rowOff>
        </xdr:from>
        <xdr:to>
          <xdr:col>6</xdr:col>
          <xdr:colOff>368300</xdr:colOff>
          <xdr:row>141</xdr:row>
          <xdr:rowOff>25400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142</xdr:row>
          <xdr:rowOff>69850</xdr:rowOff>
        </xdr:from>
        <xdr:to>
          <xdr:col>6</xdr:col>
          <xdr:colOff>349250</xdr:colOff>
          <xdr:row>143</xdr:row>
          <xdr:rowOff>25400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144</xdr:row>
          <xdr:rowOff>88900</xdr:rowOff>
        </xdr:from>
        <xdr:to>
          <xdr:col>6</xdr:col>
          <xdr:colOff>342900</xdr:colOff>
          <xdr:row>145</xdr:row>
          <xdr:rowOff>25400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88900</xdr:colOff>
          <xdr:row>138</xdr:row>
          <xdr:rowOff>95250</xdr:rowOff>
        </xdr:from>
        <xdr:to>
          <xdr:col>15</xdr:col>
          <xdr:colOff>387350</xdr:colOff>
          <xdr:row>138</xdr:row>
          <xdr:rowOff>292100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88900</xdr:colOff>
          <xdr:row>140</xdr:row>
          <xdr:rowOff>95250</xdr:rowOff>
        </xdr:from>
        <xdr:to>
          <xdr:col>15</xdr:col>
          <xdr:colOff>387350</xdr:colOff>
          <xdr:row>141</xdr:row>
          <xdr:rowOff>25400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142</xdr:row>
          <xdr:rowOff>107950</xdr:rowOff>
        </xdr:from>
        <xdr:to>
          <xdr:col>15</xdr:col>
          <xdr:colOff>400050</xdr:colOff>
          <xdr:row>143</xdr:row>
          <xdr:rowOff>25400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144</xdr:row>
          <xdr:rowOff>114300</xdr:rowOff>
        </xdr:from>
        <xdr:to>
          <xdr:col>15</xdr:col>
          <xdr:colOff>400050</xdr:colOff>
          <xdr:row>145</xdr:row>
          <xdr:rowOff>25400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69850</xdr:rowOff>
        </xdr:from>
        <xdr:to>
          <xdr:col>9</xdr:col>
          <xdr:colOff>590550</xdr:colOff>
          <xdr:row>76</xdr:row>
          <xdr:rowOff>95250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76</xdr:row>
          <xdr:rowOff>69850</xdr:rowOff>
        </xdr:from>
        <xdr:to>
          <xdr:col>9</xdr:col>
          <xdr:colOff>590550</xdr:colOff>
          <xdr:row>77</xdr:row>
          <xdr:rowOff>95250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80</xdr:row>
          <xdr:rowOff>69850</xdr:rowOff>
        </xdr:from>
        <xdr:to>
          <xdr:col>9</xdr:col>
          <xdr:colOff>590550</xdr:colOff>
          <xdr:row>81</xdr:row>
          <xdr:rowOff>95250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81</xdr:row>
          <xdr:rowOff>69850</xdr:rowOff>
        </xdr:from>
        <xdr:to>
          <xdr:col>9</xdr:col>
          <xdr:colOff>590550</xdr:colOff>
          <xdr:row>82</xdr:row>
          <xdr:rowOff>95250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146</xdr:row>
          <xdr:rowOff>88900</xdr:rowOff>
        </xdr:from>
        <xdr:to>
          <xdr:col>6</xdr:col>
          <xdr:colOff>342900</xdr:colOff>
          <xdr:row>147</xdr:row>
          <xdr:rowOff>25400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148</xdr:row>
          <xdr:rowOff>88900</xdr:rowOff>
        </xdr:from>
        <xdr:to>
          <xdr:col>6</xdr:col>
          <xdr:colOff>342900</xdr:colOff>
          <xdr:row>149</xdr:row>
          <xdr:rowOff>25400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146</xdr:row>
          <xdr:rowOff>114300</xdr:rowOff>
        </xdr:from>
        <xdr:to>
          <xdr:col>15</xdr:col>
          <xdr:colOff>400050</xdr:colOff>
          <xdr:row>147</xdr:row>
          <xdr:rowOff>25400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148</xdr:row>
          <xdr:rowOff>114300</xdr:rowOff>
        </xdr:from>
        <xdr:to>
          <xdr:col>15</xdr:col>
          <xdr:colOff>400050</xdr:colOff>
          <xdr:row>149</xdr:row>
          <xdr:rowOff>25400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www.epaumc.org/charge-conferences/clergy-compensation-repor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9ABD0-4B30-4982-BF5D-DA66C42A909C}">
  <dimension ref="A1:AX6"/>
  <sheetViews>
    <sheetView workbookViewId="0">
      <selection activeCell="I7" sqref="I7"/>
    </sheetView>
  </sheetViews>
  <sheetFormatPr defaultRowHeight="14.5" x14ac:dyDescent="0.35"/>
  <cols>
    <col min="1" max="1" width="12.26953125" bestFit="1" customWidth="1"/>
    <col min="2" max="2" width="12.26953125" customWidth="1"/>
    <col min="3" max="3" width="6.81640625" bestFit="1" customWidth="1"/>
    <col min="4" max="4" width="11.453125" bestFit="1" customWidth="1"/>
    <col min="5" max="5" width="10.6328125" bestFit="1" customWidth="1"/>
    <col min="6" max="6" width="12" bestFit="1" customWidth="1"/>
    <col min="7" max="7" width="23.81640625" customWidth="1"/>
    <col min="8" max="8" width="14.26953125" bestFit="1" customWidth="1"/>
    <col min="9" max="9" width="14.26953125" customWidth="1"/>
    <col min="10" max="10" width="16.36328125" customWidth="1"/>
    <col min="11" max="11" width="13.1796875" bestFit="1" customWidth="1"/>
    <col min="12" max="12" width="6.08984375" bestFit="1" customWidth="1"/>
    <col min="13" max="13" width="19.453125" bestFit="1" customWidth="1"/>
    <col min="14" max="14" width="16.08984375" bestFit="1" customWidth="1"/>
    <col min="15" max="15" width="10.453125" bestFit="1" customWidth="1"/>
    <col min="16" max="16" width="21.90625" bestFit="1" customWidth="1"/>
    <col min="17" max="17" width="17.54296875" bestFit="1" customWidth="1"/>
    <col min="18" max="18" width="17.7265625" bestFit="1" customWidth="1"/>
    <col min="19" max="19" width="13" customWidth="1"/>
    <col min="20" max="20" width="15.36328125" bestFit="1" customWidth="1"/>
    <col min="21" max="21" width="8.1796875" customWidth="1"/>
    <col min="22" max="22" width="9.453125" customWidth="1"/>
    <col min="23" max="23" width="16.90625" bestFit="1" customWidth="1"/>
    <col min="24" max="24" width="23" bestFit="1" customWidth="1"/>
    <col min="25" max="25" width="14.26953125" bestFit="1" customWidth="1"/>
    <col min="26" max="26" width="27.6328125" bestFit="1" customWidth="1"/>
    <col min="27" max="27" width="18.08984375" bestFit="1" customWidth="1"/>
    <col min="28" max="28" width="24.90625" bestFit="1" customWidth="1"/>
    <col min="29" max="29" width="10.7265625" bestFit="1" customWidth="1"/>
    <col min="30" max="30" width="18.36328125" bestFit="1" customWidth="1"/>
    <col min="31" max="31" width="23.26953125" bestFit="1" customWidth="1"/>
    <col min="32" max="32" width="18.26953125" bestFit="1" customWidth="1"/>
    <col min="33" max="33" width="10.453125" bestFit="1" customWidth="1"/>
    <col min="34" max="34" width="18.54296875" bestFit="1" customWidth="1"/>
    <col min="35" max="35" width="13.453125" bestFit="1" customWidth="1"/>
    <col min="36" max="36" width="12.81640625" bestFit="1" customWidth="1"/>
    <col min="37" max="37" width="24.54296875" bestFit="1" customWidth="1"/>
    <col min="38" max="38" width="18.26953125" bestFit="1" customWidth="1"/>
    <col min="39" max="40" width="7.81640625" customWidth="1"/>
    <col min="41" max="41" width="8.1796875" customWidth="1"/>
    <col min="42" max="42" width="6.36328125" bestFit="1" customWidth="1"/>
    <col min="43" max="43" width="6.26953125" bestFit="1" customWidth="1"/>
    <col min="44" max="44" width="15" bestFit="1" customWidth="1"/>
    <col min="45" max="45" width="16.90625" bestFit="1" customWidth="1"/>
    <col min="46" max="46" width="13.36328125" bestFit="1" customWidth="1"/>
    <col min="47" max="47" width="15.26953125" bestFit="1" customWidth="1"/>
    <col min="48" max="48" width="21.81640625" bestFit="1" customWidth="1"/>
    <col min="49" max="49" width="23.26953125" bestFit="1" customWidth="1"/>
    <col min="50" max="50" width="18.54296875" bestFit="1" customWidth="1"/>
    <col min="51" max="51" width="23.7265625" bestFit="1" customWidth="1"/>
  </cols>
  <sheetData>
    <row r="1" spans="1:50" x14ac:dyDescent="0.35">
      <c r="A1" t="s">
        <v>0</v>
      </c>
      <c r="B1" t="s">
        <v>955</v>
      </c>
      <c r="C1" t="s">
        <v>1</v>
      </c>
      <c r="D1" t="s">
        <v>2</v>
      </c>
      <c r="E1" t="s">
        <v>3</v>
      </c>
      <c r="F1" t="s">
        <v>4</v>
      </c>
      <c r="G1" t="s">
        <v>5</v>
      </c>
      <c r="H1" t="s">
        <v>6</v>
      </c>
      <c r="I1" t="s">
        <v>983</v>
      </c>
      <c r="J1" t="s">
        <v>954</v>
      </c>
      <c r="K1" t="s">
        <v>910</v>
      </c>
      <c r="L1" t="s">
        <v>7</v>
      </c>
      <c r="M1" t="s">
        <v>99</v>
      </c>
      <c r="N1" t="s">
        <v>100</v>
      </c>
      <c r="O1" t="s">
        <v>101</v>
      </c>
      <c r="P1" t="s">
        <v>102</v>
      </c>
      <c r="Q1" t="s">
        <v>103</v>
      </c>
      <c r="R1" t="s">
        <v>104</v>
      </c>
      <c r="S1" t="s">
        <v>979</v>
      </c>
      <c r="T1" t="s">
        <v>106</v>
      </c>
      <c r="U1" t="s">
        <v>107</v>
      </c>
      <c r="V1" t="s">
        <v>108</v>
      </c>
      <c r="W1" t="s">
        <v>109</v>
      </c>
      <c r="X1" t="s">
        <v>110</v>
      </c>
      <c r="Y1" t="s">
        <v>980</v>
      </c>
      <c r="Z1" t="s">
        <v>111</v>
      </c>
      <c r="AA1" t="s">
        <v>112</v>
      </c>
      <c r="AB1" t="s">
        <v>113</v>
      </c>
      <c r="AC1" t="s">
        <v>114</v>
      </c>
      <c r="AD1" t="s">
        <v>115</v>
      </c>
      <c r="AE1" t="s">
        <v>116</v>
      </c>
      <c r="AF1" t="s">
        <v>117</v>
      </c>
      <c r="AG1" t="s">
        <v>118</v>
      </c>
      <c r="AH1" t="s">
        <v>119</v>
      </c>
      <c r="AI1" t="s">
        <v>120</v>
      </c>
      <c r="AJ1" t="s">
        <v>121</v>
      </c>
      <c r="AK1" t="s">
        <v>122</v>
      </c>
      <c r="AL1" t="s">
        <v>123</v>
      </c>
      <c r="AM1" t="s">
        <v>981</v>
      </c>
      <c r="AN1" t="s">
        <v>982</v>
      </c>
      <c r="AO1" t="s">
        <v>124</v>
      </c>
      <c r="AP1" t="s">
        <v>105</v>
      </c>
      <c r="AQ1" t="s">
        <v>125</v>
      </c>
      <c r="AR1" t="s">
        <v>126</v>
      </c>
      <c r="AS1" t="s">
        <v>127</v>
      </c>
      <c r="AT1" t="s">
        <v>128</v>
      </c>
      <c r="AU1" t="s">
        <v>129</v>
      </c>
      <c r="AV1" t="s">
        <v>130</v>
      </c>
      <c r="AW1" t="s">
        <v>131</v>
      </c>
      <c r="AX1" t="s">
        <v>132</v>
      </c>
    </row>
    <row r="2" spans="1:50" x14ac:dyDescent="0.35">
      <c r="A2" s="69" t="str">
        <f>IF('Comp Form'!C6="Church Name - Dropdown","",'Comp Form'!A2)</f>
        <v/>
      </c>
      <c r="B2" s="69" t="str">
        <f>IF(G2&lt;&gt;"","Eastern Pennsylvania","")</f>
        <v/>
      </c>
      <c r="C2" t="str">
        <f>IF('Comp Form'!C6="Church Name - Dropdown","",'Comp Form'!L2)</f>
        <v/>
      </c>
      <c r="D2" t="str">
        <f>IF('Comp Form'!C6="Church Name - Dropdown","",'Comp Form'!A4)</f>
        <v/>
      </c>
      <c r="E2" t="str">
        <f>IF('Comp Form'!C6="Church Name - Dropdown","",'Comp Form'!F4)</f>
        <v/>
      </c>
      <c r="F2" t="str">
        <f>IF('Comp Form'!C6="Church Name - Dropdown","",'Comp Form'!K4)</f>
        <v/>
      </c>
      <c r="G2" t="str">
        <f>IF('Comp Form'!C6="Church Name - Dropdown","",'Comp Form'!C6)</f>
        <v/>
      </c>
      <c r="H2" t="str">
        <f>IF(G2="","",'Comp Form'!C7)</f>
        <v/>
      </c>
      <c r="I2" t="str">
        <f>IF(G2="","",'Comp Form'!C8)</f>
        <v/>
      </c>
      <c r="J2" t="str">
        <f>IF(G2="","",'Comp Form'!C9)</f>
        <v/>
      </c>
      <c r="K2" t="str">
        <f>IF(G2="","",'Comp Form'!J12)</f>
        <v/>
      </c>
      <c r="L2" t="str">
        <f>IF('Comp Form'!J13="","",'Comp Form'!J13)</f>
        <v/>
      </c>
      <c r="M2" t="str">
        <f>IF('Comp Form'!J14="","",'Comp Form'!J14)</f>
        <v/>
      </c>
      <c r="N2" t="str">
        <f>IF('Comp Form'!J15="","",'Comp Form'!J15)</f>
        <v/>
      </c>
      <c r="O2" t="str">
        <f>IF('Comp Form'!J16="","",'Comp Form'!J16)</f>
        <v/>
      </c>
      <c r="P2" t="str">
        <f>IF('Comp Form'!J17="","",'Comp Form'!J17)</f>
        <v/>
      </c>
      <c r="Q2" t="str">
        <f>IF('Comp Form'!J18="","",'Comp Form'!J18)</f>
        <v/>
      </c>
      <c r="R2" t="str">
        <f>IF(G2="","",SUM(L2:Q2))</f>
        <v/>
      </c>
      <c r="S2" t="str">
        <f>IF('Comp Form'!J21="","",'Comp Form'!J21)</f>
        <v/>
      </c>
      <c r="T2" t="str">
        <f>IF('Comp Form'!J22="","",'Comp Form'!J22)</f>
        <v/>
      </c>
      <c r="U2" t="str">
        <f>IF('Comp Form'!J23="","",'Comp Form'!J23)</f>
        <v/>
      </c>
      <c r="V2" t="str">
        <f>IF('Comp Form'!J24="","",'Comp Form'!J24)</f>
        <v/>
      </c>
      <c r="W2" t="str">
        <f>IF('Comp Form'!J25="","",'Comp Form'!J25)</f>
        <v/>
      </c>
      <c r="X2" t="str">
        <f>IF(G2="","",SUM(S2:W2))</f>
        <v/>
      </c>
      <c r="Y2" t="str">
        <f>IF('Comp Form'!J28="","",'Comp Form'!J28)</f>
        <v/>
      </c>
      <c r="Z2" t="str">
        <f>IF('Comp Form'!J29="","",'Comp Form'!J29)</f>
        <v/>
      </c>
      <c r="AA2" t="str">
        <f>IF(G2="","",SUM(R2,W2)-SUM(X2,Y2))</f>
        <v/>
      </c>
      <c r="AB2" t="str">
        <f>IF(G2="","",R2-X2)</f>
        <v/>
      </c>
      <c r="AC2" t="str">
        <f>IF(G2="","",AB2+X2)</f>
        <v/>
      </c>
      <c r="AD2" t="str">
        <f>IF(AND('Comp Form'!J39&gt;0,G2&lt;&gt;""),"Yes","")</f>
        <v/>
      </c>
      <c r="AE2" t="str">
        <f>IF(G2="","",AC2*0.25)</f>
        <v/>
      </c>
      <c r="AF2" t="str">
        <f>IF(AND('Comp Form'!P43&gt;0,G2&lt;&gt;""),"Yes","")</f>
        <v/>
      </c>
      <c r="AG2" t="str">
        <f>IF(AND('Comp Form'!P44&gt;0,G2&lt;&gt;""),"Yes","")</f>
        <v/>
      </c>
      <c r="AH2" t="str">
        <f>IF(AND('Comp Form'!P45&gt;0,G2&lt;&gt;""),"Yes","")</f>
        <v/>
      </c>
      <c r="AI2" t="str">
        <f>IF(AND('Comp Form'!P46&gt;0,G2&lt;&gt;""),"Yes","")</f>
        <v/>
      </c>
      <c r="AJ2" t="str">
        <f>IF(AND('Comp Form'!P47&gt;0,G2&lt;&gt;""),"Yes","")</f>
        <v/>
      </c>
      <c r="AK2" t="str">
        <f>IF('Comp Form'!J48="","",'Comp Form'!J48)</f>
        <v/>
      </c>
      <c r="AL2" t="str">
        <f>IF(G2="","",'Comp Form'!J49)</f>
        <v/>
      </c>
      <c r="AM2" t="str">
        <f>IF(G2="","",'Comp Form'!J50)</f>
        <v/>
      </c>
      <c r="AN2" t="str">
        <f>IF(G2="","",'Comp Form'!J51)</f>
        <v/>
      </c>
      <c r="AO2" t="str">
        <f>IF(G2="","",'Comp Form'!J52)</f>
        <v/>
      </c>
      <c r="AP2" t="str">
        <f>IF(G2="","",'Comp Form'!J53)</f>
        <v/>
      </c>
      <c r="AQ2" t="str">
        <f>IF(G2="","",'Comp Form'!J54)</f>
        <v/>
      </c>
      <c r="AR2" t="str">
        <f>IF(G2="","",'Comp Form'!J55)</f>
        <v/>
      </c>
      <c r="AS2" t="str">
        <f>IF(G2="","",'Comp Form'!J56)</f>
        <v/>
      </c>
      <c r="AW2" t="str">
        <f>IF(G2="","",'Comp Form'!J58)</f>
        <v/>
      </c>
      <c r="AX2" t="str">
        <f>IF(G2="","",'Comp Form'!J60)</f>
        <v/>
      </c>
    </row>
    <row r="3" spans="1:50" x14ac:dyDescent="0.35">
      <c r="A3" s="69" t="str">
        <f>IF('Comp Form'!F6="Church Name - Dropdown","",'Comp Form'!A2)</f>
        <v/>
      </c>
      <c r="B3" s="69" t="str">
        <f>IF(G3&lt;&gt;"","Eastern Pennsylvania","")</f>
        <v/>
      </c>
      <c r="C3" t="str">
        <f>IF('Comp Form'!F6="Church Name - Dropdown","",'Comp Form'!L2)</f>
        <v/>
      </c>
      <c r="D3" t="str">
        <f>IF('Comp Form'!F6="Church Name - Dropdown","",'Comp Form'!A4)</f>
        <v/>
      </c>
      <c r="E3" t="str">
        <f>IF('Comp Form'!F6="Church Name - Dropdown","",'Comp Form'!F4)</f>
        <v/>
      </c>
      <c r="F3" t="str">
        <f>IF('Comp Form'!F6="Church Name - Dropdown","",'Comp Form'!K4)</f>
        <v/>
      </c>
      <c r="G3" t="str">
        <f>IF('Comp Form'!F6="Church Name - Dropdown","",'Comp Form'!F6)</f>
        <v/>
      </c>
      <c r="H3" t="str">
        <f>IF(G3="","",'Comp Form'!F7)</f>
        <v/>
      </c>
      <c r="I3" t="str">
        <f>IF(G3="","",'Comp Form'!F8)</f>
        <v/>
      </c>
      <c r="J3" t="str">
        <f>IF(G3="","",'Comp Form'!F9)</f>
        <v/>
      </c>
      <c r="K3" t="str">
        <f>IF(G3="","",'Comp Form'!K12)</f>
        <v/>
      </c>
      <c r="L3" t="str">
        <f>IF('Comp Form'!K13="","",'Comp Form'!K13)</f>
        <v/>
      </c>
      <c r="M3" t="str">
        <f>IF('Comp Form'!K14="","",'Comp Form'!K14)</f>
        <v/>
      </c>
      <c r="N3" t="str">
        <f>IF('Comp Form'!K15="","",'Comp Form'!K15)</f>
        <v/>
      </c>
      <c r="O3" t="str">
        <f>IF('Comp Form'!K16="","",'Comp Form'!K16)</f>
        <v/>
      </c>
      <c r="P3" t="str">
        <f>IF('Comp Form'!K17="","",'Comp Form'!K17)</f>
        <v/>
      </c>
      <c r="Q3" t="str">
        <f>IF('Comp Form'!K18="","",'Comp Form'!K18)</f>
        <v/>
      </c>
      <c r="R3" t="str">
        <f>IF(G3="","",SUM(L3:Q3))</f>
        <v/>
      </c>
      <c r="S3" t="str">
        <f>IF('Comp Form'!K21="","",'Comp Form'!K21)</f>
        <v/>
      </c>
      <c r="T3" t="str">
        <f>IF('Comp Form'!K22="","",'Comp Form'!K22)</f>
        <v/>
      </c>
      <c r="U3" t="str">
        <f>IF('Comp Form'!K23="","",'Comp Form'!K23)</f>
        <v/>
      </c>
      <c r="V3" t="str">
        <f>IF('Comp Form'!K24="","",'Comp Form'!K24)</f>
        <v/>
      </c>
      <c r="W3" t="str">
        <f>IF('Comp Form'!K25="","",'Comp Form'!K25)</f>
        <v/>
      </c>
      <c r="X3" t="str">
        <f>IF(G3="","",SUM(S3:W3))</f>
        <v/>
      </c>
      <c r="Y3" t="str">
        <f>IF('Comp Form'!K28="","",'Comp Form'!K28)</f>
        <v/>
      </c>
      <c r="Z3" t="str">
        <f>IF('Comp Form'!K29="","",'Comp Form'!K29)</f>
        <v/>
      </c>
      <c r="AA3" t="str">
        <f>IF(G3="","",SUM(R3,W3)-SUM(X3,Y3))</f>
        <v/>
      </c>
      <c r="AB3" t="str">
        <f>IF(G3="","",R3-X3)</f>
        <v/>
      </c>
      <c r="AC3" t="str">
        <f>IF(G3="","",AB3+X3)</f>
        <v/>
      </c>
      <c r="AD3" t="str">
        <f>IF(AND('Comp Form'!K39&gt;0,G3&lt;&gt;""),"Yes","")</f>
        <v/>
      </c>
      <c r="AE3" t="str">
        <f>IF(G3="","",AC3*0.25)</f>
        <v/>
      </c>
      <c r="AF3" t="str">
        <f>IF(AND('Comp Form'!P43&gt;0,G3&lt;&gt;""),"Yes","")</f>
        <v/>
      </c>
      <c r="AG3" t="str">
        <f>IF(AND('Comp Form'!P44&gt;0,G3&lt;&gt;""),"Yes","")</f>
        <v/>
      </c>
      <c r="AH3" t="str">
        <f>IF(AND('Comp Form'!P45&gt;0,G3&lt;&gt;""),"Yes","")</f>
        <v/>
      </c>
      <c r="AI3" t="str">
        <f>IF(AND('Comp Form'!P46&gt;0,G3&lt;&gt;""),"Yes","")</f>
        <v/>
      </c>
      <c r="AJ3" t="str">
        <f>IF(AND('Comp Form'!P47&gt;0,G3&lt;&gt;""),"Yes","")</f>
        <v/>
      </c>
      <c r="AK3" t="str">
        <f>IF('Comp Form'!K48="","",'Comp Form'!K48)</f>
        <v/>
      </c>
      <c r="AL3" t="str">
        <f>IF(G3="","",'Comp Form'!K49)</f>
        <v/>
      </c>
      <c r="AM3" t="str">
        <f>IF(G3="","",'Comp Form'!K50)</f>
        <v/>
      </c>
      <c r="AN3" t="str">
        <f>IF(G3="","",'Comp Form'!K51)</f>
        <v/>
      </c>
      <c r="AO3" t="str">
        <f>IF(G3="","",'Comp Form'!K52)</f>
        <v/>
      </c>
      <c r="AP3" t="str">
        <f>IF(G3="","",'Comp Form'!K53)</f>
        <v/>
      </c>
      <c r="AQ3" t="str">
        <f>IF(G3="","",'Comp Form'!K54)</f>
        <v/>
      </c>
      <c r="AR3" t="str">
        <f>IF(G3="","",'Comp Form'!K55)</f>
        <v/>
      </c>
      <c r="AS3" t="str">
        <f>IF(G3="","",'Comp Form'!K56)</f>
        <v/>
      </c>
      <c r="AW3" t="str">
        <f>IF(G3="","",'Comp Form'!K58)</f>
        <v/>
      </c>
      <c r="AX3" t="str">
        <f>IF(G3="","",'Comp Form'!K60)</f>
        <v/>
      </c>
    </row>
    <row r="4" spans="1:50" x14ac:dyDescent="0.35">
      <c r="A4" s="69" t="str">
        <f>IF('Comp Form'!J6="Church Name - Dropdown","",'Comp Form'!A2)</f>
        <v/>
      </c>
      <c r="B4" s="69" t="str">
        <f>IF(G4&lt;&gt;"","Eastern Pennsylvania","")</f>
        <v/>
      </c>
      <c r="C4" t="str">
        <f>IF('Comp Form'!J6="Church Name - Dropdown","",'Comp Form'!L2)</f>
        <v/>
      </c>
      <c r="D4" t="str">
        <f>IF('Comp Form'!J6="Church Name - Dropdown","",'Comp Form'!A4)</f>
        <v/>
      </c>
      <c r="E4" t="str">
        <f>IF('Comp Form'!J6="Church Name - Dropdown","",'Comp Form'!F4)</f>
        <v/>
      </c>
      <c r="F4" t="str">
        <f>IF('Comp Form'!J6="Church Name - Dropdown","",'Comp Form'!K4)</f>
        <v/>
      </c>
      <c r="G4" t="str">
        <f>IF('Comp Form'!J6="Church Name - Dropdown","",'Comp Form'!J6)</f>
        <v/>
      </c>
      <c r="H4" t="str">
        <f>IF(G4="","",'Comp Form'!J7)</f>
        <v/>
      </c>
      <c r="I4" t="str">
        <f>IF(G4="","",'Comp Form'!J8)</f>
        <v/>
      </c>
      <c r="J4" t="str">
        <f>IF(G4="","",'Comp Form'!J9)</f>
        <v/>
      </c>
      <c r="K4" t="str">
        <f>IF(G4="","",'Comp Form'!L12)</f>
        <v/>
      </c>
      <c r="L4" t="str">
        <f>IF('Comp Form'!L13="","",'Comp Form'!L13)</f>
        <v/>
      </c>
      <c r="M4" t="str">
        <f>IF('Comp Form'!L14="","",'Comp Form'!L14)</f>
        <v/>
      </c>
      <c r="N4" t="str">
        <f>IF('Comp Form'!L15="","",'Comp Form'!L15)</f>
        <v/>
      </c>
      <c r="O4" t="str">
        <f>IF('Comp Form'!L16="","",'Comp Form'!L16)</f>
        <v/>
      </c>
      <c r="P4" t="str">
        <f>IF('Comp Form'!L17="","",'Comp Form'!L17)</f>
        <v/>
      </c>
      <c r="Q4" t="str">
        <f>IF('Comp Form'!L18="","",'Comp Form'!L18)</f>
        <v/>
      </c>
      <c r="R4" t="str">
        <f>IF(G4="","",SUM(L4:Q4))</f>
        <v/>
      </c>
      <c r="S4" t="str">
        <f>IF('Comp Form'!L21="","",'Comp Form'!L21)</f>
        <v/>
      </c>
      <c r="T4" t="str">
        <f>IF('Comp Form'!L22="","",'Comp Form'!L22)</f>
        <v/>
      </c>
      <c r="U4" t="str">
        <f>IF('Comp Form'!L23="","",'Comp Form'!L23)</f>
        <v/>
      </c>
      <c r="V4" t="str">
        <f>IF('Comp Form'!L24="","",'Comp Form'!L24)</f>
        <v/>
      </c>
      <c r="W4" t="str">
        <f>IF('Comp Form'!L25="","",'Comp Form'!L25)</f>
        <v/>
      </c>
      <c r="X4" t="str">
        <f>IF(G4="","",SUM(S4:W4))</f>
        <v/>
      </c>
      <c r="Y4" t="str">
        <f>IF('Comp Form'!L28="","",'Comp Form'!L28)</f>
        <v/>
      </c>
      <c r="Z4" t="str">
        <f>IF('Comp Form'!L29="","",'Comp Form'!L29)</f>
        <v/>
      </c>
      <c r="AA4" t="str">
        <f>IF(G4="","",SUM(R4,W4)-SUM(X4,Y4))</f>
        <v/>
      </c>
      <c r="AB4" t="str">
        <f>IF(G4="","",R4-X4)</f>
        <v/>
      </c>
      <c r="AC4" t="str">
        <f>IF(G4="","",AB4+X4)</f>
        <v/>
      </c>
      <c r="AD4" t="str">
        <f>IF(AND('Comp Form'!L39&gt;0,G4&lt;&gt;""),"Yes","")</f>
        <v/>
      </c>
      <c r="AE4" t="str">
        <f>IF(G4="","",AC4*0.25)</f>
        <v/>
      </c>
      <c r="AF4" t="str">
        <f>IF(AND('Comp Form'!P43&gt;0,G4&lt;&gt;""),"Yes","")</f>
        <v/>
      </c>
      <c r="AG4" t="str">
        <f>IF(AND('Comp Form'!P44&gt;0,G4&lt;&gt;""),"Yes","")</f>
        <v/>
      </c>
      <c r="AH4" t="str">
        <f>IF(AND('Comp Form'!P45&gt;0,G4&lt;&gt;""),"Yes","")</f>
        <v/>
      </c>
      <c r="AI4" t="str">
        <f>IF(AND('Comp Form'!P46&gt;0,G4&lt;&gt;""),"Yes","")</f>
        <v/>
      </c>
      <c r="AJ4" t="str">
        <f>IF(AND('Comp Form'!P47&gt;0,G4&lt;&gt;""),"Yes","")</f>
        <v/>
      </c>
      <c r="AK4" t="str">
        <f>IF('Comp Form'!L48="","",'Comp Form'!L48)</f>
        <v/>
      </c>
      <c r="AL4" t="str">
        <f>IF(G4="","",'Comp Form'!L49)</f>
        <v/>
      </c>
      <c r="AM4" t="str">
        <f>IF(G4="","",'Comp Form'!L50)</f>
        <v/>
      </c>
      <c r="AN4" t="str">
        <f>IF(G4="","",'Comp Form'!L51)</f>
        <v/>
      </c>
      <c r="AO4" t="str">
        <f>IF(G4="","",'Comp Form'!L52)</f>
        <v/>
      </c>
      <c r="AP4" t="str">
        <f>IF(G4="","",'Comp Form'!L53)</f>
        <v/>
      </c>
      <c r="AQ4" t="str">
        <f>IF(G4="","",'Comp Form'!L54)</f>
        <v/>
      </c>
      <c r="AR4" t="str">
        <f>IF(G4="","",'Comp Form'!L55)</f>
        <v/>
      </c>
      <c r="AS4" t="str">
        <f>IF(G4="","",'Comp Form'!L56)</f>
        <v/>
      </c>
      <c r="AW4" t="str">
        <f>IF(G4="","",'Comp Form'!L58)</f>
        <v/>
      </c>
      <c r="AX4" t="str">
        <f>IF(G4="","",'Comp Form'!L60)</f>
        <v/>
      </c>
    </row>
    <row r="5" spans="1:50" x14ac:dyDescent="0.35">
      <c r="A5" s="69" t="str">
        <f>IF('Comp Form'!M6="Church Name - Dropdown","",'Comp Form'!A2)</f>
        <v/>
      </c>
      <c r="B5" s="69" t="str">
        <f>IF(G5&lt;&gt;"","Eastern Pennsylvania","")</f>
        <v/>
      </c>
      <c r="C5" t="str">
        <f>IF('Comp Form'!M6="Church Name - Dropdown","",'Comp Form'!L2)</f>
        <v/>
      </c>
      <c r="D5" t="str">
        <f>IF('Comp Form'!M6="Church Name - Dropdown","",'Comp Form'!A4)</f>
        <v/>
      </c>
      <c r="E5" t="str">
        <f>IF('Comp Form'!M6="Church Name - Dropdown","",'Comp Form'!F4)</f>
        <v/>
      </c>
      <c r="F5" t="str">
        <f>IF('Comp Form'!M6="Church Name - Dropdown","",'Comp Form'!K4)</f>
        <v/>
      </c>
      <c r="G5" t="str">
        <f>IF('Comp Form'!M6="Church Name - Dropdown","",'Comp Form'!M6)</f>
        <v/>
      </c>
      <c r="H5" t="str">
        <f>IF(G5="","",'Comp Form'!M7)</f>
        <v/>
      </c>
      <c r="I5" t="str">
        <f>IF(G5="","",'Comp Form'!M8)</f>
        <v/>
      </c>
      <c r="J5" t="str">
        <f>IF(G5="","",'Comp Form'!M9)</f>
        <v/>
      </c>
      <c r="K5" t="str">
        <f>IF(G5="","",'Comp Form'!M12)</f>
        <v/>
      </c>
      <c r="L5" t="str">
        <f>IF('Comp Form'!M13="","",'Comp Form'!M13)</f>
        <v/>
      </c>
      <c r="M5" t="str">
        <f>IF('Comp Form'!M14="","",'Comp Form'!M14)</f>
        <v/>
      </c>
      <c r="N5" t="str">
        <f>IF('Comp Form'!M15="","",'Comp Form'!M15)</f>
        <v/>
      </c>
      <c r="O5" t="str">
        <f>IF('Comp Form'!M16="","",'Comp Form'!M16)</f>
        <v/>
      </c>
      <c r="P5" t="str">
        <f>IF('Comp Form'!M17="","",'Comp Form'!M17)</f>
        <v/>
      </c>
      <c r="Q5" t="str">
        <f>IF('Comp Form'!M18="","",'Comp Form'!M18)</f>
        <v/>
      </c>
      <c r="R5" t="str">
        <f>IF(G5="","",SUM(L5:Q5))</f>
        <v/>
      </c>
      <c r="S5" t="str">
        <f>IF('Comp Form'!M21="","",'Comp Form'!M21)</f>
        <v/>
      </c>
      <c r="T5" t="str">
        <f>IF('Comp Form'!M22="","",'Comp Form'!M22)</f>
        <v/>
      </c>
      <c r="U5" t="str">
        <f>IF('Comp Form'!M23="","",'Comp Form'!M23)</f>
        <v/>
      </c>
      <c r="V5" t="str">
        <f>IF('Comp Form'!M24="","",'Comp Form'!M24)</f>
        <v/>
      </c>
      <c r="W5" t="str">
        <f>IF('Comp Form'!M25="","",'Comp Form'!M25)</f>
        <v/>
      </c>
      <c r="X5" t="str">
        <f>IF(G5="","",SUM(S5:W5))</f>
        <v/>
      </c>
      <c r="Y5" t="str">
        <f>IF('Comp Form'!M28="","",'Comp Form'!M28)</f>
        <v/>
      </c>
      <c r="Z5" t="str">
        <f>IF('Comp Form'!M29="","",'Comp Form'!M29)</f>
        <v/>
      </c>
      <c r="AA5" t="str">
        <f>IF(G5="","",SUM(R5,W5)-SUM(X5,Y5))</f>
        <v/>
      </c>
      <c r="AB5" t="str">
        <f>IF(G5="","",R5-X5)</f>
        <v/>
      </c>
      <c r="AC5" t="str">
        <f>IF(G5="","",AB5+X5)</f>
        <v/>
      </c>
      <c r="AD5" t="str">
        <f>IF(AND('Comp Form'!M39&gt;0,G5&lt;&gt;""),"Yes","")</f>
        <v/>
      </c>
      <c r="AE5" t="str">
        <f>IF(G5="","",AC5*0.25)</f>
        <v/>
      </c>
      <c r="AF5" t="str">
        <f>IF(AND('Comp Form'!P43&gt;0,G5&lt;&gt;""),"Yes","")</f>
        <v/>
      </c>
      <c r="AG5" t="str">
        <f>IF(AND('Comp Form'!P44&gt;0,G5&lt;&gt;""),"Yes","")</f>
        <v/>
      </c>
      <c r="AH5" t="str">
        <f>IF(AND('Comp Form'!P45&gt;0,G5&lt;&gt;""),"Yes","")</f>
        <v/>
      </c>
      <c r="AI5" t="str">
        <f>IF(AND('Comp Form'!P46&gt;0,G5&lt;&gt;""),"Yes","")</f>
        <v/>
      </c>
      <c r="AJ5" t="str">
        <f>IF(AND('Comp Form'!P47&gt;0,G5&lt;&gt;""),"Yes","")</f>
        <v/>
      </c>
      <c r="AK5" t="str">
        <f>IF('Comp Form'!M48="","",'Comp Form'!M48)</f>
        <v/>
      </c>
      <c r="AL5" t="str">
        <f>IF(G5="","",'Comp Form'!M49)</f>
        <v/>
      </c>
      <c r="AM5" t="str">
        <f>IF(G5="","",'Comp Form'!M50)</f>
        <v/>
      </c>
      <c r="AN5" t="str">
        <f>IF(G5="","",'Comp Form'!M51)</f>
        <v/>
      </c>
      <c r="AO5" t="str">
        <f>IF(G5="","",'Comp Form'!M52)</f>
        <v/>
      </c>
      <c r="AP5" t="str">
        <f>IF(G5="","",'Comp Form'!M53)</f>
        <v/>
      </c>
      <c r="AQ5" t="str">
        <f>IF(G5="","",'Comp Form'!M54)</f>
        <v/>
      </c>
      <c r="AR5" t="str">
        <f>IF(G5="","",'Comp Form'!M55)</f>
        <v/>
      </c>
      <c r="AS5" t="str">
        <f>IF(G5="","",'Comp Form'!M56)</f>
        <v/>
      </c>
      <c r="AW5" t="str">
        <f>IF(G4="","",'Comp Form'!M58)</f>
        <v/>
      </c>
      <c r="AX5" t="str">
        <f>IF(G4="","",'Comp Form'!M60)</f>
        <v/>
      </c>
    </row>
    <row r="6" spans="1:50" x14ac:dyDescent="0.35">
      <c r="A6" s="69" t="str">
        <f>IF('Comp Form'!O6="Church Name - Dropdown","",'Comp Form'!A2)</f>
        <v/>
      </c>
      <c r="B6" s="69" t="str">
        <f>IF(G6&lt;&gt;"","Eastern Pennsylvania","")</f>
        <v/>
      </c>
      <c r="C6" t="str">
        <f>IF('Comp Form'!O6="Church Name - Dropdown","",'Comp Form'!L2)</f>
        <v/>
      </c>
      <c r="D6" t="str">
        <f>IF('Comp Form'!O6="Church Name - Dropdown","",'Comp Form'!A4)</f>
        <v/>
      </c>
      <c r="E6" t="str">
        <f>IF('Comp Form'!O6="Church Name - Dropdown","",'Comp Form'!F4)</f>
        <v/>
      </c>
      <c r="F6" t="str">
        <f>IF('Comp Form'!O6="Church Name - Dropdown","",'Comp Form'!K4)</f>
        <v/>
      </c>
      <c r="G6" t="str">
        <f>IF('Comp Form'!O6="Church Name - Dropdown","",'Comp Form'!O6)</f>
        <v/>
      </c>
      <c r="H6" t="str">
        <f>IF(G6="","",'Comp Form'!O7)</f>
        <v/>
      </c>
      <c r="I6" t="str">
        <f>IF(G6="","",'Comp Form'!O8)</f>
        <v/>
      </c>
      <c r="J6" t="str">
        <f>IF(G6="","",'Comp Form'!O9)</f>
        <v/>
      </c>
      <c r="K6" t="str">
        <f>IF(G6="","",'Comp Form'!N12)</f>
        <v/>
      </c>
      <c r="L6" t="str">
        <f>IF('Comp Form'!N13="","",'Comp Form'!N13)</f>
        <v/>
      </c>
      <c r="M6" t="str">
        <f>IF('Comp Form'!N14="","",'Comp Form'!N14)</f>
        <v/>
      </c>
      <c r="N6" t="str">
        <f>IF('Comp Form'!N15="","",'Comp Form'!N15)</f>
        <v/>
      </c>
      <c r="O6" t="str">
        <f>IF('Comp Form'!N16="","",'Comp Form'!N16)</f>
        <v/>
      </c>
      <c r="P6" t="str">
        <f>IF('Comp Form'!N17="","",'Comp Form'!N17)</f>
        <v/>
      </c>
      <c r="Q6" t="str">
        <f>IF('Comp Form'!N18="","",'Comp Form'!N18)</f>
        <v/>
      </c>
      <c r="R6" t="str">
        <f>IF(G6="","",SUM(L6:Q6))</f>
        <v/>
      </c>
      <c r="S6" t="str">
        <f>IF('Comp Form'!N21="","",'Comp Form'!N21)</f>
        <v/>
      </c>
      <c r="T6" t="str">
        <f>IF('Comp Form'!N22="","",'Comp Form'!N22)</f>
        <v/>
      </c>
      <c r="U6" t="str">
        <f>IF('Comp Form'!N23="","",'Comp Form'!N23)</f>
        <v/>
      </c>
      <c r="V6" t="str">
        <f>IF('Comp Form'!N24="","",'Comp Form'!N24)</f>
        <v/>
      </c>
      <c r="W6" t="str">
        <f>IF('Comp Form'!N25="","",'Comp Form'!N25)</f>
        <v/>
      </c>
      <c r="X6" t="str">
        <f>IF(G6="","",SUM(S6:W6))</f>
        <v/>
      </c>
      <c r="Y6" t="str">
        <f>IF('Comp Form'!N28="","",'Comp Form'!N28)</f>
        <v/>
      </c>
      <c r="Z6" t="str">
        <f>IF('Comp Form'!N29="","",'Comp Form'!N29)</f>
        <v/>
      </c>
      <c r="AA6" t="str">
        <f>IF(G6="","",SUM(R6,W6)-SUM(X6,Y6))</f>
        <v/>
      </c>
      <c r="AB6" t="str">
        <f>IF(G6="","",R6-X6)</f>
        <v/>
      </c>
      <c r="AC6" t="str">
        <f>IF(G6="","",AB6+X6)</f>
        <v/>
      </c>
      <c r="AD6" t="str">
        <f>IF(AND('Comp Form'!N39&gt;0,G6&lt;&gt;""),"Yes","")</f>
        <v/>
      </c>
      <c r="AE6" t="str">
        <f>IF(G6="","",AC6*0.25)</f>
        <v/>
      </c>
      <c r="AF6" t="str">
        <f>IF(AND('Comp Form'!P43&gt;0,G6&lt;&gt;""),"Yes","")</f>
        <v/>
      </c>
      <c r="AG6" t="str">
        <f>IF(AND('Comp Form'!P44&gt;0,G6&lt;&gt;""),"Yes","")</f>
        <v/>
      </c>
      <c r="AH6" t="str">
        <f>IF(AND('Comp Form'!P45&gt;0,G6&lt;&gt;""),"Yes","")</f>
        <v/>
      </c>
      <c r="AI6" t="str">
        <f>IF(AND('Comp Form'!P46&gt;0,G6&lt;&gt;""),"Yes","")</f>
        <v/>
      </c>
      <c r="AJ6" t="str">
        <f>IF(AND('Comp Form'!P47&gt;0,G6&lt;&gt;""),"Yes","")</f>
        <v/>
      </c>
      <c r="AK6" t="str">
        <f>IF('Comp Form'!N48="","",'Comp Form'!N48)</f>
        <v/>
      </c>
      <c r="AL6" t="str">
        <f>IF(G6="","",'Comp Form'!N49)</f>
        <v/>
      </c>
      <c r="AM6" t="str">
        <f>IF(G6="","",'Comp Form'!N50)</f>
        <v/>
      </c>
      <c r="AN6" t="str">
        <f>IF(G6="","",'Comp Form'!N51)</f>
        <v/>
      </c>
      <c r="AO6" t="str">
        <f>IF(G6="","",'Comp Form'!N52)</f>
        <v/>
      </c>
      <c r="AP6" t="str">
        <f>IF(G6="","",'Comp Form'!N53)</f>
        <v/>
      </c>
      <c r="AQ6" t="str">
        <f>IF(G6="","",'Comp Form'!N54)</f>
        <v/>
      </c>
      <c r="AR6" t="str">
        <f>IF(G6="","",'Comp Form'!N55)</f>
        <v/>
      </c>
      <c r="AS6" t="str">
        <f>IF(G6="","",'Comp Form'!N56)</f>
        <v/>
      </c>
      <c r="AW6" t="str">
        <f>IF(G4="","",'Comp Form'!N58)</f>
        <v/>
      </c>
      <c r="AX6" t="str">
        <f>IF(G4="","",'Comp Form'!N60)</f>
        <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4B394-F5F7-4F1E-BBAA-D30858AE307A}">
  <sheetPr>
    <pageSetUpPr fitToPage="1"/>
  </sheetPr>
  <dimension ref="A1:P151"/>
  <sheetViews>
    <sheetView tabSelected="1" zoomScaleNormal="100" workbookViewId="0">
      <selection activeCell="A2" sqref="A2:D2"/>
    </sheetView>
  </sheetViews>
  <sheetFormatPr defaultRowHeight="14.5" x14ac:dyDescent="0.35"/>
  <cols>
    <col min="1" max="1" width="5.54296875" customWidth="1"/>
    <col min="2" max="2" width="7.36328125" customWidth="1"/>
    <col min="3" max="3" width="9.1796875" customWidth="1"/>
    <col min="4" max="4" width="8.90625" customWidth="1"/>
    <col min="5" max="5" width="14" customWidth="1"/>
    <col min="6" max="6" width="9.453125" customWidth="1"/>
    <col min="7" max="7" width="7" customWidth="1"/>
    <col min="8" max="8" width="0.7265625" customWidth="1"/>
    <col min="9" max="9" width="14.1796875" customWidth="1"/>
    <col min="10" max="10" width="13.7265625" customWidth="1"/>
    <col min="11" max="11" width="14.26953125" customWidth="1"/>
    <col min="12" max="12" width="13.90625" customWidth="1"/>
    <col min="13" max="13" width="13.7265625" customWidth="1"/>
    <col min="14" max="14" width="13.81640625" customWidth="1"/>
    <col min="15" max="15" width="4.81640625" customWidth="1"/>
    <col min="16" max="16" width="13.26953125" customWidth="1"/>
    <col min="19" max="19" width="15.1796875" bestFit="1" customWidth="1"/>
    <col min="20" max="20" width="14.90625" bestFit="1" customWidth="1"/>
  </cols>
  <sheetData>
    <row r="1" spans="1:16" ht="17" x14ac:dyDescent="0.35">
      <c r="A1" s="301" t="s">
        <v>959</v>
      </c>
      <c r="B1" s="302"/>
      <c r="C1" s="302"/>
      <c r="D1" s="303"/>
      <c r="E1" s="304" t="s">
        <v>952</v>
      </c>
      <c r="F1" s="304"/>
      <c r="G1" s="304"/>
      <c r="H1" s="304"/>
      <c r="I1" s="304"/>
      <c r="J1" s="304"/>
      <c r="K1" s="305"/>
      <c r="L1" s="306" t="s">
        <v>961</v>
      </c>
      <c r="M1" s="302"/>
      <c r="N1" s="302"/>
      <c r="O1" s="302"/>
      <c r="P1" s="307"/>
    </row>
    <row r="2" spans="1:16" ht="19" thickBot="1" x14ac:dyDescent="0.45">
      <c r="A2" s="308" t="s">
        <v>921</v>
      </c>
      <c r="B2" s="309"/>
      <c r="C2" s="309"/>
      <c r="D2" s="310"/>
      <c r="E2" s="311" t="s">
        <v>137</v>
      </c>
      <c r="F2" s="311"/>
      <c r="G2" s="311"/>
      <c r="H2" s="311"/>
      <c r="I2" s="311"/>
      <c r="J2" s="311"/>
      <c r="K2" s="312"/>
      <c r="L2" s="313" t="s">
        <v>911</v>
      </c>
      <c r="M2" s="314"/>
      <c r="N2" s="314"/>
      <c r="O2" s="314"/>
      <c r="P2" s="315"/>
    </row>
    <row r="3" spans="1:16" ht="16.5" thickTop="1" x14ac:dyDescent="0.35">
      <c r="A3" s="291" t="s">
        <v>958</v>
      </c>
      <c r="B3" s="292"/>
      <c r="C3" s="292"/>
      <c r="D3" s="292"/>
      <c r="E3" s="293"/>
      <c r="F3" s="294" t="s">
        <v>960</v>
      </c>
      <c r="G3" s="292"/>
      <c r="H3" s="292"/>
      <c r="I3" s="292"/>
      <c r="J3" s="292"/>
      <c r="K3" s="294" t="s">
        <v>962</v>
      </c>
      <c r="L3" s="292"/>
      <c r="M3" s="292"/>
      <c r="N3" s="292"/>
      <c r="O3" s="292"/>
      <c r="P3" s="295"/>
    </row>
    <row r="4" spans="1:16" ht="16.5" thickBot="1" x14ac:dyDescent="0.4">
      <c r="A4" s="296"/>
      <c r="B4" s="297"/>
      <c r="C4" s="297"/>
      <c r="D4" s="297"/>
      <c r="E4" s="298"/>
      <c r="F4" s="299" t="s">
        <v>911</v>
      </c>
      <c r="G4" s="297"/>
      <c r="H4" s="297"/>
      <c r="I4" s="297"/>
      <c r="J4" s="297"/>
      <c r="K4" s="299" t="s">
        <v>911</v>
      </c>
      <c r="L4" s="297"/>
      <c r="M4" s="297"/>
      <c r="N4" s="297"/>
      <c r="O4" s="297"/>
      <c r="P4" s="300"/>
    </row>
    <row r="5" spans="1:16" ht="1.5" customHeight="1" thickTop="1" x14ac:dyDescent="0.35">
      <c r="A5" s="279" t="s">
        <v>145</v>
      </c>
      <c r="B5" s="152"/>
      <c r="C5" s="152"/>
      <c r="D5" s="152"/>
      <c r="E5" s="152"/>
      <c r="F5" s="152"/>
      <c r="G5" s="152"/>
      <c r="H5" s="152"/>
      <c r="I5" s="152"/>
      <c r="J5" s="152"/>
      <c r="K5" s="152"/>
      <c r="L5" s="152"/>
      <c r="M5" s="152"/>
      <c r="N5" s="152"/>
      <c r="O5" s="152"/>
      <c r="P5" s="280"/>
    </row>
    <row r="6" spans="1:16" ht="60" customHeight="1" x14ac:dyDescent="0.4">
      <c r="A6" s="281" t="s">
        <v>957</v>
      </c>
      <c r="B6" s="282"/>
      <c r="C6" s="129" t="s">
        <v>912</v>
      </c>
      <c r="D6" s="130"/>
      <c r="E6" s="76" t="s">
        <v>964</v>
      </c>
      <c r="F6" s="140" t="s">
        <v>912</v>
      </c>
      <c r="G6" s="141"/>
      <c r="H6" s="142"/>
      <c r="I6" s="76" t="s">
        <v>965</v>
      </c>
      <c r="J6" s="129" t="s">
        <v>912</v>
      </c>
      <c r="K6" s="130"/>
      <c r="L6" s="72" t="s">
        <v>966</v>
      </c>
      <c r="M6" s="94" t="s">
        <v>912</v>
      </c>
      <c r="N6" s="76" t="s">
        <v>963</v>
      </c>
      <c r="O6" s="129" t="s">
        <v>912</v>
      </c>
      <c r="P6" s="130"/>
    </row>
    <row r="7" spans="1:16" ht="16" x14ac:dyDescent="0.4">
      <c r="A7" s="283" t="s">
        <v>8</v>
      </c>
      <c r="B7" s="284"/>
      <c r="C7" s="131" t="str">
        <f>VLOOKUP(C6,'Staff Info'!K1:M383,2,FALSE)</f>
        <v>Church #</v>
      </c>
      <c r="D7" s="132"/>
      <c r="E7" s="74" t="s">
        <v>9</v>
      </c>
      <c r="F7" s="143" t="str">
        <f>VLOOKUP(F6,'Staff Info'!K1:M383,2,FALSE)</f>
        <v>Church #</v>
      </c>
      <c r="G7" s="144"/>
      <c r="H7" s="145"/>
      <c r="I7" s="77" t="s">
        <v>9</v>
      </c>
      <c r="J7" s="131" t="str">
        <f>VLOOKUP(J6,'Staff Info'!K1:M383,2,FALSE)</f>
        <v>Church #</v>
      </c>
      <c r="K7" s="132"/>
      <c r="L7" s="73" t="s">
        <v>9</v>
      </c>
      <c r="M7" s="113" t="str">
        <f>VLOOKUP(M6,'Staff Info'!K1:M383,2,FALSE)</f>
        <v>Church #</v>
      </c>
      <c r="N7" s="77" t="s">
        <v>9</v>
      </c>
      <c r="O7" s="131" t="str">
        <f>VLOOKUP(O6,'Staff Info'!K1:M383,2,FALSE)</f>
        <v>Church #</v>
      </c>
      <c r="P7" s="132"/>
    </row>
    <row r="8" spans="1:16" ht="35" customHeight="1" x14ac:dyDescent="0.4">
      <c r="A8" s="133" t="s">
        <v>146</v>
      </c>
      <c r="B8" s="134"/>
      <c r="C8" s="135" t="str">
        <f>VLOOKUP(C6,'Staff Info'!K1:M383,3,FALSE)</f>
        <v>Composite Rate</v>
      </c>
      <c r="D8" s="136"/>
      <c r="E8" s="75" t="s">
        <v>146</v>
      </c>
      <c r="F8" s="137" t="str">
        <f>VLOOKUP(F6,'Staff Info'!K1:M383,3,FALSE)</f>
        <v>Composite Rate</v>
      </c>
      <c r="G8" s="138"/>
      <c r="H8" s="139"/>
      <c r="I8" s="75" t="s">
        <v>146</v>
      </c>
      <c r="J8" s="135" t="str">
        <f>VLOOKUP(J6,'Staff Info'!K1:M383,3,FALSE)</f>
        <v>Composite Rate</v>
      </c>
      <c r="K8" s="136"/>
      <c r="L8" s="71" t="s">
        <v>146</v>
      </c>
      <c r="M8" s="114" t="str">
        <f>VLOOKUP(M6,'Staff Info'!K1:M383,3,FALSE)</f>
        <v>Composite Rate</v>
      </c>
      <c r="N8" s="75" t="s">
        <v>146</v>
      </c>
      <c r="O8" s="135" t="str">
        <f>VLOOKUP(O6,'Staff Info'!K1:M383,3,FALSE)</f>
        <v>Composite Rate</v>
      </c>
      <c r="P8" s="136"/>
    </row>
    <row r="9" spans="1:16" ht="58.5" customHeight="1" x14ac:dyDescent="0.35">
      <c r="A9" s="287" t="s">
        <v>953</v>
      </c>
      <c r="B9" s="288"/>
      <c r="C9" s="289" t="s">
        <v>911</v>
      </c>
      <c r="D9" s="289"/>
      <c r="E9" s="93" t="s">
        <v>953</v>
      </c>
      <c r="F9" s="290" t="s">
        <v>911</v>
      </c>
      <c r="G9" s="290"/>
      <c r="H9" s="290"/>
      <c r="I9" s="93" t="s">
        <v>953</v>
      </c>
      <c r="J9" s="289" t="s">
        <v>911</v>
      </c>
      <c r="K9" s="289"/>
      <c r="L9" s="93" t="s">
        <v>953</v>
      </c>
      <c r="M9" s="112" t="s">
        <v>911</v>
      </c>
      <c r="N9" s="93" t="s">
        <v>953</v>
      </c>
      <c r="O9" s="289" t="s">
        <v>911</v>
      </c>
      <c r="P9" s="289"/>
    </row>
    <row r="10" spans="1:16" ht="21" x14ac:dyDescent="0.5">
      <c r="A10" s="271" t="s">
        <v>10</v>
      </c>
      <c r="B10" s="272"/>
      <c r="C10" s="273"/>
      <c r="D10" s="273"/>
      <c r="E10" s="273"/>
      <c r="F10" s="272"/>
      <c r="G10" s="272"/>
      <c r="H10" s="272"/>
      <c r="I10" s="273"/>
      <c r="J10" s="272"/>
      <c r="K10" s="272"/>
      <c r="L10" s="273"/>
      <c r="M10" s="273"/>
      <c r="N10" s="273"/>
      <c r="O10" s="273"/>
      <c r="P10" s="274"/>
    </row>
    <row r="11" spans="1:16" ht="94" customHeight="1" x14ac:dyDescent="0.35">
      <c r="A11" s="275"/>
      <c r="B11" s="276"/>
      <c r="C11" s="276"/>
      <c r="D11" s="276"/>
      <c r="E11" s="276"/>
      <c r="F11" s="276"/>
      <c r="G11" s="276"/>
      <c r="H11" s="276"/>
      <c r="I11" s="277"/>
      <c r="J11" s="122" t="str">
        <f>IF(C6="Church Name - Dropdown","Church A",C6)</f>
        <v>Church A</v>
      </c>
      <c r="K11" s="123" t="str">
        <f>IF(F6="Church Name - Dropdown","Church B",F6)</f>
        <v>Church B</v>
      </c>
      <c r="L11" s="123" t="str">
        <f>IF(J6="Church Name - Dropdown","Church C",J6)</f>
        <v>Church C</v>
      </c>
      <c r="M11" s="123" t="str">
        <f>IF(M6="Church Name - Dropdown","Church D",M6)</f>
        <v>Church D</v>
      </c>
      <c r="N11" s="123" t="str">
        <f>IF(O6="Church Name - Dropdown","Church E",O6)</f>
        <v>Church E</v>
      </c>
      <c r="O11" s="124"/>
      <c r="P11" s="125" t="s">
        <v>11</v>
      </c>
    </row>
    <row r="12" spans="1:16" ht="43.5" customHeight="1" x14ac:dyDescent="0.35">
      <c r="A12" s="78"/>
      <c r="B12" s="285" t="s">
        <v>909</v>
      </c>
      <c r="C12" s="285"/>
      <c r="D12" s="285"/>
      <c r="E12" s="285"/>
      <c r="F12" s="285"/>
      <c r="G12" s="285"/>
      <c r="H12" s="285"/>
      <c r="I12" s="286"/>
      <c r="J12" s="95" t="s">
        <v>922</v>
      </c>
      <c r="K12" s="96" t="s">
        <v>922</v>
      </c>
      <c r="L12" s="96" t="s">
        <v>922</v>
      </c>
      <c r="M12" s="96" t="s">
        <v>922</v>
      </c>
      <c r="N12" s="96" t="s">
        <v>922</v>
      </c>
      <c r="O12" s="2"/>
      <c r="P12" s="1"/>
    </row>
    <row r="13" spans="1:16" ht="23" customHeight="1" x14ac:dyDescent="0.35">
      <c r="A13" s="3">
        <v>1</v>
      </c>
      <c r="B13" s="278" t="s">
        <v>12</v>
      </c>
      <c r="C13" s="278"/>
      <c r="D13" s="278"/>
      <c r="E13" s="278"/>
      <c r="F13" s="278"/>
      <c r="G13" s="278"/>
      <c r="H13" s="278"/>
      <c r="I13" s="278"/>
      <c r="J13" s="97"/>
      <c r="K13" s="97"/>
      <c r="L13" s="97"/>
      <c r="M13" s="97"/>
      <c r="N13" s="97"/>
      <c r="O13" s="4">
        <v>1</v>
      </c>
      <c r="P13" s="5">
        <f>SUM(J13:N13)</f>
        <v>0</v>
      </c>
    </row>
    <row r="14" spans="1:16" ht="23" customHeight="1" x14ac:dyDescent="0.35">
      <c r="A14" s="3">
        <v>2</v>
      </c>
      <c r="B14" s="278" t="s">
        <v>939</v>
      </c>
      <c r="C14" s="278"/>
      <c r="D14" s="278"/>
      <c r="E14" s="278"/>
      <c r="F14" s="278"/>
      <c r="G14" s="278"/>
      <c r="H14" s="278"/>
      <c r="I14" s="278"/>
      <c r="J14" s="97"/>
      <c r="K14" s="97"/>
      <c r="L14" s="97"/>
      <c r="M14" s="97"/>
      <c r="N14" s="97"/>
      <c r="O14" s="4">
        <v>2</v>
      </c>
      <c r="P14" s="5">
        <f t="shared" ref="P14:P19" si="0">SUM(J14:N14)</f>
        <v>0</v>
      </c>
    </row>
    <row r="15" spans="1:16" ht="23" customHeight="1" x14ac:dyDescent="0.35">
      <c r="A15" s="3">
        <v>3</v>
      </c>
      <c r="B15" s="278" t="s">
        <v>940</v>
      </c>
      <c r="C15" s="278"/>
      <c r="D15" s="278"/>
      <c r="E15" s="278"/>
      <c r="F15" s="278"/>
      <c r="G15" s="278"/>
      <c r="H15" s="278"/>
      <c r="I15" s="278"/>
      <c r="J15" s="97"/>
      <c r="K15" s="97"/>
      <c r="L15" s="97"/>
      <c r="M15" s="97"/>
      <c r="N15" s="97"/>
      <c r="O15" s="4">
        <v>3</v>
      </c>
      <c r="P15" s="5">
        <f t="shared" si="0"/>
        <v>0</v>
      </c>
    </row>
    <row r="16" spans="1:16" ht="23" customHeight="1" x14ac:dyDescent="0.35">
      <c r="A16" s="3">
        <v>4</v>
      </c>
      <c r="B16" s="278" t="s">
        <v>941</v>
      </c>
      <c r="C16" s="278"/>
      <c r="D16" s="278"/>
      <c r="E16" s="278"/>
      <c r="F16" s="278"/>
      <c r="G16" s="278"/>
      <c r="H16" s="278"/>
      <c r="I16" s="278"/>
      <c r="J16" s="97"/>
      <c r="K16" s="97"/>
      <c r="L16" s="97"/>
      <c r="M16" s="98"/>
      <c r="N16" s="98"/>
      <c r="O16" s="3">
        <v>4</v>
      </c>
      <c r="P16" s="5">
        <f t="shared" si="0"/>
        <v>0</v>
      </c>
    </row>
    <row r="17" spans="1:16" ht="23" customHeight="1" x14ac:dyDescent="0.35">
      <c r="A17" s="3">
        <v>5</v>
      </c>
      <c r="B17" s="263" t="s">
        <v>13</v>
      </c>
      <c r="C17" s="263"/>
      <c r="D17" s="263"/>
      <c r="E17" s="263"/>
      <c r="F17" s="263"/>
      <c r="G17" s="263"/>
      <c r="H17" s="263"/>
      <c r="I17" s="263"/>
      <c r="J17" s="99"/>
      <c r="K17" s="99"/>
      <c r="L17" s="99"/>
      <c r="M17" s="100"/>
      <c r="N17" s="100"/>
      <c r="O17" s="3">
        <v>5</v>
      </c>
      <c r="P17" s="5">
        <f t="shared" si="0"/>
        <v>0</v>
      </c>
    </row>
    <row r="18" spans="1:16" ht="34" customHeight="1" x14ac:dyDescent="0.35">
      <c r="A18" s="3">
        <v>6</v>
      </c>
      <c r="B18" s="264" t="s">
        <v>987</v>
      </c>
      <c r="C18" s="264"/>
      <c r="D18" s="264"/>
      <c r="E18" s="264"/>
      <c r="F18" s="264"/>
      <c r="G18" s="264"/>
      <c r="H18" s="264"/>
      <c r="I18" s="264"/>
      <c r="J18" s="97"/>
      <c r="K18" s="97"/>
      <c r="L18" s="97"/>
      <c r="M18" s="98"/>
      <c r="N18" s="98"/>
      <c r="O18" s="3">
        <v>6</v>
      </c>
      <c r="P18" s="5">
        <f t="shared" si="0"/>
        <v>0</v>
      </c>
    </row>
    <row r="19" spans="1:16" ht="24.5" customHeight="1" x14ac:dyDescent="0.35">
      <c r="A19" s="3">
        <v>7</v>
      </c>
      <c r="B19" s="265" t="s">
        <v>14</v>
      </c>
      <c r="C19" s="265"/>
      <c r="D19" s="265"/>
      <c r="E19" s="265"/>
      <c r="F19" s="265"/>
      <c r="G19" s="265"/>
      <c r="H19" s="265"/>
      <c r="I19" s="265"/>
      <c r="J19" s="5">
        <f>SUM(J13:J18)</f>
        <v>0</v>
      </c>
      <c r="K19" s="5">
        <f>SUM(K13:K18)</f>
        <v>0</v>
      </c>
      <c r="L19" s="5">
        <f>SUM(L13:L18)</f>
        <v>0</v>
      </c>
      <c r="M19" s="5">
        <f>SUM(M13:M18)</f>
        <v>0</v>
      </c>
      <c r="N19" s="5">
        <f>SUM(N13:N18)</f>
        <v>0</v>
      </c>
      <c r="O19" s="3">
        <v>7</v>
      </c>
      <c r="P19" s="5">
        <f t="shared" si="0"/>
        <v>0</v>
      </c>
    </row>
    <row r="20" spans="1:16" x14ac:dyDescent="0.35">
      <c r="A20" s="266" t="s">
        <v>15</v>
      </c>
      <c r="B20" s="269" t="s">
        <v>16</v>
      </c>
      <c r="C20" s="269"/>
      <c r="D20" s="269"/>
      <c r="E20" s="269"/>
      <c r="F20" s="269"/>
      <c r="G20" s="269"/>
      <c r="H20" s="269"/>
      <c r="I20" s="269"/>
      <c r="J20" s="269"/>
      <c r="K20" s="269"/>
      <c r="L20" s="269"/>
      <c r="M20" s="269"/>
      <c r="N20" s="269"/>
      <c r="O20" s="269"/>
      <c r="P20" s="269"/>
    </row>
    <row r="21" spans="1:16" ht="73.5" customHeight="1" x14ac:dyDescent="0.35">
      <c r="A21" s="267"/>
      <c r="B21" s="4">
        <v>8</v>
      </c>
      <c r="C21" s="270" t="s">
        <v>971</v>
      </c>
      <c r="D21" s="270"/>
      <c r="E21" s="270"/>
      <c r="F21" s="270"/>
      <c r="G21" s="270"/>
      <c r="H21" s="270"/>
      <c r="I21" s="270"/>
      <c r="J21" s="117"/>
      <c r="K21" s="117"/>
      <c r="L21" s="118"/>
      <c r="M21" s="118"/>
      <c r="N21" s="118"/>
      <c r="O21" s="4">
        <v>8</v>
      </c>
      <c r="P21" s="5">
        <f t="shared" ref="P21:P26" si="1">SUM(J21:N21)</f>
        <v>0</v>
      </c>
    </row>
    <row r="22" spans="1:16" ht="42.5" customHeight="1" x14ac:dyDescent="0.35">
      <c r="A22" s="267"/>
      <c r="B22" s="4">
        <v>9</v>
      </c>
      <c r="C22" s="253" t="s">
        <v>17</v>
      </c>
      <c r="D22" s="253"/>
      <c r="E22" s="253"/>
      <c r="F22" s="253"/>
      <c r="G22" s="253"/>
      <c r="H22" s="253"/>
      <c r="I22" s="253"/>
      <c r="J22" s="101"/>
      <c r="K22" s="99"/>
      <c r="L22" s="100"/>
      <c r="M22" s="100"/>
      <c r="N22" s="100"/>
      <c r="O22" s="4">
        <v>9</v>
      </c>
      <c r="P22" s="5">
        <f t="shared" si="1"/>
        <v>0</v>
      </c>
    </row>
    <row r="23" spans="1:16" ht="42.5" customHeight="1" x14ac:dyDescent="0.35">
      <c r="A23" s="267"/>
      <c r="B23" s="4">
        <v>10</v>
      </c>
      <c r="C23" s="253" t="s">
        <v>18</v>
      </c>
      <c r="D23" s="253"/>
      <c r="E23" s="253"/>
      <c r="F23" s="253"/>
      <c r="G23" s="253"/>
      <c r="H23" s="253"/>
      <c r="I23" s="253"/>
      <c r="J23" s="97"/>
      <c r="K23" s="99"/>
      <c r="L23" s="100"/>
      <c r="M23" s="100"/>
      <c r="N23" s="100"/>
      <c r="O23" s="4">
        <v>10</v>
      </c>
      <c r="P23" s="5">
        <f t="shared" si="1"/>
        <v>0</v>
      </c>
    </row>
    <row r="24" spans="1:16" ht="54.5" customHeight="1" x14ac:dyDescent="0.35">
      <c r="A24" s="267"/>
      <c r="B24" s="4">
        <v>11</v>
      </c>
      <c r="C24" s="253" t="s">
        <v>942</v>
      </c>
      <c r="D24" s="253"/>
      <c r="E24" s="253"/>
      <c r="F24" s="253"/>
      <c r="G24" s="253"/>
      <c r="H24" s="253"/>
      <c r="I24" s="253"/>
      <c r="J24" s="97"/>
      <c r="K24" s="99"/>
      <c r="L24" s="100"/>
      <c r="M24" s="100"/>
      <c r="N24" s="100"/>
      <c r="O24" s="4">
        <v>11</v>
      </c>
      <c r="P24" s="5">
        <f t="shared" si="1"/>
        <v>0</v>
      </c>
    </row>
    <row r="25" spans="1:16" ht="78" customHeight="1" x14ac:dyDescent="0.35">
      <c r="A25" s="267"/>
      <c r="B25" s="4">
        <v>12</v>
      </c>
      <c r="C25" s="253" t="s">
        <v>943</v>
      </c>
      <c r="D25" s="253"/>
      <c r="E25" s="253"/>
      <c r="F25" s="253"/>
      <c r="G25" s="253"/>
      <c r="H25" s="253"/>
      <c r="I25" s="253"/>
      <c r="J25" s="97"/>
      <c r="K25" s="97"/>
      <c r="L25" s="98"/>
      <c r="M25" s="98"/>
      <c r="N25" s="98"/>
      <c r="O25" s="4">
        <v>12</v>
      </c>
      <c r="P25" s="5">
        <f t="shared" si="1"/>
        <v>0</v>
      </c>
    </row>
    <row r="26" spans="1:16" ht="24.5" customHeight="1" x14ac:dyDescent="0.35">
      <c r="A26" s="267"/>
      <c r="B26" s="4">
        <v>13</v>
      </c>
      <c r="C26" s="253" t="s">
        <v>19</v>
      </c>
      <c r="D26" s="253"/>
      <c r="E26" s="253"/>
      <c r="F26" s="253"/>
      <c r="G26" s="253"/>
      <c r="H26" s="253"/>
      <c r="I26" s="253"/>
      <c r="J26" s="5">
        <f>SUM(J21:J25)</f>
        <v>0</v>
      </c>
      <c r="K26" s="5">
        <f>SUM(K21:K25)</f>
        <v>0</v>
      </c>
      <c r="L26" s="5">
        <f>SUM(L21:L25)</f>
        <v>0</v>
      </c>
      <c r="M26" s="5">
        <f>SUM(M21:M25)</f>
        <v>0</v>
      </c>
      <c r="N26" s="5">
        <f>SUM(N21:N25)</f>
        <v>0</v>
      </c>
      <c r="O26" s="4">
        <v>13</v>
      </c>
      <c r="P26" s="5">
        <f t="shared" si="1"/>
        <v>0</v>
      </c>
    </row>
    <row r="27" spans="1:16" x14ac:dyDescent="0.35">
      <c r="A27" s="267"/>
      <c r="B27" s="206" t="s">
        <v>20</v>
      </c>
      <c r="C27" s="207"/>
      <c r="D27" s="207"/>
      <c r="E27" s="207"/>
      <c r="F27" s="207"/>
      <c r="G27" s="207"/>
      <c r="H27" s="207"/>
      <c r="I27" s="207"/>
      <c r="J27" s="207"/>
      <c r="K27" s="207"/>
      <c r="L27" s="207"/>
      <c r="M27" s="207"/>
      <c r="N27" s="207"/>
      <c r="O27" s="207"/>
      <c r="P27" s="238"/>
    </row>
    <row r="28" spans="1:16" ht="41" customHeight="1" x14ac:dyDescent="0.35">
      <c r="A28" s="267"/>
      <c r="B28" s="4">
        <v>14</v>
      </c>
      <c r="C28" s="258" t="s">
        <v>970</v>
      </c>
      <c r="D28" s="258"/>
      <c r="E28" s="258"/>
      <c r="F28" s="258"/>
      <c r="G28" s="258"/>
      <c r="H28" s="258"/>
      <c r="I28" s="258"/>
      <c r="J28" s="102"/>
      <c r="K28" s="102"/>
      <c r="L28" s="102"/>
      <c r="M28" s="103"/>
      <c r="N28" s="104"/>
      <c r="O28" s="4">
        <v>14</v>
      </c>
      <c r="P28" s="7">
        <f>SUM(J28:N28)</f>
        <v>0</v>
      </c>
    </row>
    <row r="29" spans="1:16" ht="155.5" customHeight="1" x14ac:dyDescent="0.35">
      <c r="A29" s="267"/>
      <c r="B29" s="3">
        <v>15</v>
      </c>
      <c r="C29" s="259" t="s">
        <v>990</v>
      </c>
      <c r="D29" s="260"/>
      <c r="E29" s="260"/>
      <c r="F29" s="260"/>
      <c r="G29" s="260"/>
      <c r="H29" s="260"/>
      <c r="I29" s="261"/>
      <c r="J29" s="105"/>
      <c r="K29" s="102"/>
      <c r="L29" s="102"/>
      <c r="M29" s="106"/>
      <c r="N29" s="107"/>
      <c r="O29" s="3">
        <v>15</v>
      </c>
      <c r="P29" s="7">
        <f>SUM(J29:N29)</f>
        <v>0</v>
      </c>
    </row>
    <row r="30" spans="1:16" ht="22" customHeight="1" x14ac:dyDescent="0.35">
      <c r="A30" s="267"/>
      <c r="B30" s="4">
        <v>16</v>
      </c>
      <c r="C30" s="262" t="s">
        <v>21</v>
      </c>
      <c r="D30" s="262"/>
      <c r="E30" s="262"/>
      <c r="F30" s="262"/>
      <c r="G30" s="262"/>
      <c r="H30" s="262"/>
      <c r="I30" s="262"/>
      <c r="J30" s="8">
        <f>J19-J26-J28+J25</f>
        <v>0</v>
      </c>
      <c r="K30" s="8">
        <f t="shared" ref="K30:N30" si="2">K19-K26-K28+K25</f>
        <v>0</v>
      </c>
      <c r="L30" s="8">
        <f t="shared" si="2"/>
        <v>0</v>
      </c>
      <c r="M30" s="8">
        <f t="shared" si="2"/>
        <v>0</v>
      </c>
      <c r="N30" s="8">
        <f t="shared" si="2"/>
        <v>0</v>
      </c>
      <c r="O30" s="4">
        <v>16</v>
      </c>
      <c r="P30" s="7">
        <f>SUM(J30:N30)</f>
        <v>0</v>
      </c>
    </row>
    <row r="31" spans="1:16" ht="25" customHeight="1" x14ac:dyDescent="0.35">
      <c r="A31" s="267"/>
      <c r="B31" s="4">
        <v>17</v>
      </c>
      <c r="C31" s="214" t="s">
        <v>993</v>
      </c>
      <c r="D31" s="214"/>
      <c r="E31" s="214"/>
      <c r="F31" s="214"/>
      <c r="G31" s="214"/>
      <c r="H31" s="214"/>
      <c r="I31" s="214"/>
      <c r="J31" s="9">
        <f>(J13+J14+J15+J16+J17+J29)-J26</f>
        <v>0</v>
      </c>
      <c r="K31" s="9">
        <f t="shared" ref="K31:N31" si="3">(K13+K14+K15+K16+K17+K29)-K26</f>
        <v>0</v>
      </c>
      <c r="L31" s="9">
        <f t="shared" si="3"/>
        <v>0</v>
      </c>
      <c r="M31" s="9">
        <f t="shared" si="3"/>
        <v>0</v>
      </c>
      <c r="N31" s="9">
        <f t="shared" si="3"/>
        <v>0</v>
      </c>
      <c r="O31" s="4">
        <v>17</v>
      </c>
      <c r="P31" s="7">
        <f>SUM(J31:N31)</f>
        <v>0</v>
      </c>
    </row>
    <row r="32" spans="1:16" ht="27.5" customHeight="1" x14ac:dyDescent="0.35">
      <c r="A32" s="268"/>
      <c r="B32" s="4">
        <v>18</v>
      </c>
      <c r="C32" s="215" t="s">
        <v>992</v>
      </c>
      <c r="D32" s="215"/>
      <c r="E32" s="215"/>
      <c r="F32" s="215"/>
      <c r="G32" s="215"/>
      <c r="H32" s="215"/>
      <c r="I32" s="215"/>
      <c r="J32" s="10">
        <f>J31+J26+J18</f>
        <v>0</v>
      </c>
      <c r="K32" s="10">
        <f t="shared" ref="K32:N32" si="4">K31+K26+K18</f>
        <v>0</v>
      </c>
      <c r="L32" s="10">
        <f t="shared" si="4"/>
        <v>0</v>
      </c>
      <c r="M32" s="10">
        <f t="shared" si="4"/>
        <v>0</v>
      </c>
      <c r="N32" s="10">
        <f t="shared" si="4"/>
        <v>0</v>
      </c>
      <c r="O32" s="4">
        <v>18</v>
      </c>
      <c r="P32" s="7">
        <f>SUM(J32:N32)</f>
        <v>0</v>
      </c>
    </row>
    <row r="33" spans="1:16" ht="43" customHeight="1" x14ac:dyDescent="0.35">
      <c r="A33" s="146" t="s">
        <v>986</v>
      </c>
      <c r="B33" s="147"/>
      <c r="C33" s="147"/>
      <c r="D33" s="147"/>
      <c r="E33" s="147"/>
      <c r="F33" s="147"/>
      <c r="G33" s="147"/>
      <c r="H33" s="147"/>
      <c r="I33" s="147"/>
      <c r="J33" s="147"/>
      <c r="K33" s="147"/>
      <c r="L33" s="147"/>
      <c r="M33" s="147"/>
      <c r="N33" s="147"/>
      <c r="O33" s="147"/>
      <c r="P33" s="148"/>
    </row>
    <row r="34" spans="1:16" ht="39" customHeight="1" x14ac:dyDescent="0.35">
      <c r="A34" s="146" t="s">
        <v>977</v>
      </c>
      <c r="B34" s="147"/>
      <c r="C34" s="147"/>
      <c r="D34" s="147"/>
      <c r="E34" s="147"/>
      <c r="F34" s="147"/>
      <c r="G34" s="147"/>
      <c r="H34" s="147"/>
      <c r="I34" s="147"/>
      <c r="J34" s="147"/>
      <c r="K34" s="147"/>
      <c r="L34" s="147"/>
      <c r="M34" s="147"/>
      <c r="N34" s="147"/>
      <c r="O34" s="147"/>
      <c r="P34" s="148"/>
    </row>
    <row r="35" spans="1:16" ht="35" customHeight="1" x14ac:dyDescent="0.35">
      <c r="A35" s="146" t="s">
        <v>976</v>
      </c>
      <c r="B35" s="147"/>
      <c r="C35" s="147"/>
      <c r="D35" s="147"/>
      <c r="E35" s="147"/>
      <c r="F35" s="147"/>
      <c r="G35" s="147"/>
      <c r="H35" s="147"/>
      <c r="I35" s="147"/>
      <c r="J35" s="147"/>
      <c r="K35" s="147"/>
      <c r="L35" s="147"/>
      <c r="M35" s="147"/>
      <c r="N35" s="147"/>
      <c r="O35" s="147"/>
      <c r="P35" s="148"/>
    </row>
    <row r="36" spans="1:16" ht="46" customHeight="1" x14ac:dyDescent="0.35">
      <c r="A36" s="255" t="s">
        <v>975</v>
      </c>
      <c r="B36" s="256"/>
      <c r="C36" s="256"/>
      <c r="D36" s="256"/>
      <c r="E36" s="256"/>
      <c r="F36" s="256"/>
      <c r="G36" s="256"/>
      <c r="H36" s="256"/>
      <c r="I36" s="256"/>
      <c r="J36" s="256"/>
      <c r="K36" s="256"/>
      <c r="L36" s="256"/>
      <c r="M36" s="256"/>
      <c r="N36" s="256"/>
      <c r="O36" s="256"/>
      <c r="P36" s="257"/>
    </row>
    <row r="37" spans="1:16" ht="46" customHeight="1" x14ac:dyDescent="0.35">
      <c r="A37" s="146" t="s">
        <v>974</v>
      </c>
      <c r="B37" s="147"/>
      <c r="C37" s="147"/>
      <c r="D37" s="147"/>
      <c r="E37" s="147"/>
      <c r="F37" s="147"/>
      <c r="G37" s="147"/>
      <c r="H37" s="147"/>
      <c r="I37" s="147"/>
      <c r="J37" s="147"/>
      <c r="K37" s="147"/>
      <c r="L37" s="147"/>
      <c r="M37" s="147"/>
      <c r="N37" s="147"/>
      <c r="O37" s="147"/>
      <c r="P37" s="148"/>
    </row>
    <row r="38" spans="1:16" ht="88" customHeight="1" x14ac:dyDescent="0.35">
      <c r="A38" s="206" t="s">
        <v>22</v>
      </c>
      <c r="B38" s="207"/>
      <c r="C38" s="207"/>
      <c r="D38" s="207"/>
      <c r="E38" s="207"/>
      <c r="F38" s="207"/>
      <c r="G38" s="207"/>
      <c r="H38" s="207"/>
      <c r="I38" s="238"/>
      <c r="J38" s="119" t="str">
        <f>IF(C6="Church Name - Dropdown","Church A",C6)</f>
        <v>Church A</v>
      </c>
      <c r="K38" s="120" t="str">
        <f>IF(F6="Church Name - Dropdown","Church B",F6)</f>
        <v>Church B</v>
      </c>
      <c r="L38" s="119" t="str">
        <f>IF(J6="Church Name - Dropdown","Church C",J6)</f>
        <v>Church C</v>
      </c>
      <c r="M38" s="121" t="str">
        <f>IF(M6="Church Name - Dropdown","Church D",M6)</f>
        <v>Church D</v>
      </c>
      <c r="N38" s="121" t="str">
        <f>IF(O6="Church Name - Dropdown","Church E",O6)</f>
        <v>Church E</v>
      </c>
      <c r="O38" s="239"/>
      <c r="P38" s="240"/>
    </row>
    <row r="39" spans="1:16" ht="48" customHeight="1" x14ac:dyDescent="0.35">
      <c r="A39" s="241">
        <v>19</v>
      </c>
      <c r="B39" s="243" t="s">
        <v>23</v>
      </c>
      <c r="C39" s="244"/>
      <c r="D39" s="244"/>
      <c r="E39" s="244"/>
      <c r="F39" s="244"/>
      <c r="G39" s="244"/>
      <c r="H39" s="244"/>
      <c r="I39" s="245"/>
      <c r="J39" s="108"/>
      <c r="K39" s="108"/>
      <c r="L39" s="108"/>
      <c r="M39" s="108"/>
      <c r="N39" s="108"/>
      <c r="O39" s="249" t="s">
        <v>11</v>
      </c>
      <c r="P39" s="250"/>
    </row>
    <row r="40" spans="1:16" ht="29" customHeight="1" x14ac:dyDescent="0.35">
      <c r="A40" s="242"/>
      <c r="B40" s="246"/>
      <c r="C40" s="247"/>
      <c r="D40" s="247"/>
      <c r="E40" s="247"/>
      <c r="F40" s="247"/>
      <c r="G40" s="247"/>
      <c r="H40" s="247"/>
      <c r="I40" s="248"/>
      <c r="J40" s="12">
        <f>IF(J39="x",J32,0)</f>
        <v>0</v>
      </c>
      <c r="K40" s="13">
        <f>IF(K39="x",K32,0)</f>
        <v>0</v>
      </c>
      <c r="L40" s="13">
        <f>IF(L39="x",L32,0)</f>
        <v>0</v>
      </c>
      <c r="M40" s="13">
        <f>IF(M39="x",M32,0)</f>
        <v>0</v>
      </c>
      <c r="N40" s="13">
        <f>IF(N39="x",N32,0)</f>
        <v>0</v>
      </c>
      <c r="O40" s="251"/>
      <c r="P40" s="252"/>
    </row>
    <row r="41" spans="1:16" ht="47" customHeight="1" x14ac:dyDescent="0.35">
      <c r="A41" s="4">
        <v>20</v>
      </c>
      <c r="B41" s="253" t="s">
        <v>24</v>
      </c>
      <c r="C41" s="253"/>
      <c r="D41" s="253"/>
      <c r="E41" s="253"/>
      <c r="F41" s="254"/>
      <c r="G41" s="254"/>
      <c r="H41" s="254"/>
      <c r="I41" s="254"/>
      <c r="J41" s="14">
        <f>J40*0.25</f>
        <v>0</v>
      </c>
      <c r="K41" s="14">
        <f>K40*0.25</f>
        <v>0</v>
      </c>
      <c r="L41" s="14">
        <f>L40*0.25</f>
        <v>0</v>
      </c>
      <c r="M41" s="14">
        <f>M40*0.25</f>
        <v>0</v>
      </c>
      <c r="N41" s="14">
        <f>N40*0.25</f>
        <v>0</v>
      </c>
      <c r="O41" s="4">
        <v>20</v>
      </c>
      <c r="P41" s="14">
        <f>SUM(J41:N41)</f>
        <v>0</v>
      </c>
    </row>
    <row r="42" spans="1:16" ht="32.5" customHeight="1" thickBot="1" x14ac:dyDescent="0.4">
      <c r="A42" s="230" t="s">
        <v>978</v>
      </c>
      <c r="B42" s="231"/>
      <c r="C42" s="231"/>
      <c r="D42" s="231"/>
      <c r="E42" s="231"/>
      <c r="F42" s="231"/>
      <c r="G42" s="231"/>
      <c r="H42" s="231"/>
      <c r="I42" s="231"/>
      <c r="J42" s="232"/>
      <c r="K42" s="231"/>
      <c r="L42" s="231"/>
      <c r="M42" s="231"/>
      <c r="N42" s="231"/>
      <c r="O42" s="231"/>
      <c r="P42" s="233"/>
    </row>
    <row r="43" spans="1:16" ht="30" customHeight="1" thickBot="1" x14ac:dyDescent="0.4">
      <c r="A43" s="208" t="s">
        <v>25</v>
      </c>
      <c r="B43" s="209"/>
      <c r="C43" s="209"/>
      <c r="D43" s="209"/>
      <c r="E43" s="209"/>
      <c r="F43" s="209"/>
      <c r="G43" s="209"/>
      <c r="H43" s="15"/>
      <c r="I43" s="15"/>
      <c r="J43" s="16"/>
      <c r="K43" s="16"/>
      <c r="L43" s="16"/>
      <c r="M43" s="16"/>
      <c r="N43" s="16"/>
      <c r="O43" s="17"/>
      <c r="P43" s="109"/>
    </row>
    <row r="44" spans="1:16" ht="53" customHeight="1" thickBot="1" x14ac:dyDescent="0.4">
      <c r="A44" s="234" t="s">
        <v>991</v>
      </c>
      <c r="B44" s="235"/>
      <c r="C44" s="235"/>
      <c r="D44" s="235"/>
      <c r="E44" s="235"/>
      <c r="F44" s="235"/>
      <c r="G44" s="235"/>
      <c r="H44" s="235"/>
      <c r="I44" s="235"/>
      <c r="J44" s="235"/>
      <c r="K44" s="235"/>
      <c r="L44" s="16"/>
      <c r="M44" s="16"/>
      <c r="N44" s="16"/>
      <c r="O44" s="17"/>
      <c r="P44" s="109"/>
    </row>
    <row r="45" spans="1:16" ht="27" customHeight="1" thickBot="1" x14ac:dyDescent="0.4">
      <c r="A45" s="236" t="s">
        <v>26</v>
      </c>
      <c r="B45" s="237"/>
      <c r="C45" s="237"/>
      <c r="D45" s="237"/>
      <c r="E45" s="237"/>
      <c r="F45" s="237"/>
      <c r="G45" s="237"/>
      <c r="H45" s="15"/>
      <c r="I45" s="15"/>
      <c r="J45" s="16"/>
      <c r="K45" s="16"/>
      <c r="L45" s="16"/>
      <c r="M45" s="16"/>
      <c r="N45" s="16"/>
      <c r="O45" s="17"/>
      <c r="P45" s="109"/>
    </row>
    <row r="46" spans="1:16" ht="25.5" customHeight="1" thickBot="1" x14ac:dyDescent="0.4">
      <c r="A46" s="236" t="s">
        <v>27</v>
      </c>
      <c r="B46" s="237"/>
      <c r="C46" s="237"/>
      <c r="D46" s="237"/>
      <c r="E46" s="237"/>
      <c r="F46" s="237"/>
      <c r="G46" s="237"/>
      <c r="H46" s="237"/>
      <c r="I46" s="237"/>
      <c r="J46" s="237"/>
      <c r="K46" s="16"/>
      <c r="L46" s="16"/>
      <c r="M46" s="16"/>
      <c r="N46" s="16"/>
      <c r="O46" s="17"/>
      <c r="P46" s="109"/>
    </row>
    <row r="47" spans="1:16" ht="28" customHeight="1" thickBot="1" x14ac:dyDescent="0.4">
      <c r="A47" s="236" t="s">
        <v>28</v>
      </c>
      <c r="B47" s="237"/>
      <c r="C47" s="237"/>
      <c r="D47" s="237"/>
      <c r="E47" s="237"/>
      <c r="F47" s="237"/>
      <c r="G47" s="237"/>
      <c r="H47" s="237"/>
      <c r="I47" s="237"/>
      <c r="J47" s="237"/>
      <c r="K47" s="237"/>
      <c r="L47" s="18"/>
      <c r="M47" s="18"/>
      <c r="N47" s="18"/>
      <c r="O47" s="19"/>
      <c r="P47" s="109"/>
    </row>
    <row r="48" spans="1:16" ht="70" customHeight="1" x14ac:dyDescent="0.35">
      <c r="A48" s="4">
        <v>21</v>
      </c>
      <c r="B48" s="219" t="s">
        <v>944</v>
      </c>
      <c r="C48" s="220"/>
      <c r="D48" s="220"/>
      <c r="E48" s="220"/>
      <c r="F48" s="220"/>
      <c r="G48" s="220"/>
      <c r="H48" s="220"/>
      <c r="I48" s="221"/>
      <c r="J48" s="115"/>
      <c r="K48" s="116"/>
      <c r="L48" s="116"/>
      <c r="M48" s="116"/>
      <c r="N48" s="116"/>
      <c r="O48" s="4">
        <v>21</v>
      </c>
      <c r="P48" s="20">
        <f>SUM(J48:N48)</f>
        <v>0</v>
      </c>
    </row>
    <row r="49" spans="1:16" ht="47" customHeight="1" x14ac:dyDescent="0.35">
      <c r="A49" s="4">
        <v>22</v>
      </c>
      <c r="B49" s="222" t="s">
        <v>29</v>
      </c>
      <c r="C49" s="222"/>
      <c r="D49" s="222"/>
      <c r="E49" s="222"/>
      <c r="F49" s="222"/>
      <c r="G49" s="222"/>
      <c r="H49" s="222"/>
      <c r="I49" s="222"/>
      <c r="J49" s="5">
        <f>J32+J41</f>
        <v>0</v>
      </c>
      <c r="K49" s="5">
        <f>K32+K41</f>
        <v>0</v>
      </c>
      <c r="L49" s="5">
        <f>L32+L41</f>
        <v>0</v>
      </c>
      <c r="M49" s="5">
        <f>M32+M41</f>
        <v>0</v>
      </c>
      <c r="N49" s="5">
        <f>N32+N41</f>
        <v>0</v>
      </c>
      <c r="O49" s="4">
        <v>22</v>
      </c>
      <c r="P49" s="20">
        <f t="shared" ref="P49:P56" si="5">SUM(J49:N49)</f>
        <v>0</v>
      </c>
    </row>
    <row r="50" spans="1:16" ht="42" customHeight="1" x14ac:dyDescent="0.35">
      <c r="A50" s="4" t="s">
        <v>945</v>
      </c>
      <c r="B50" s="223" t="s">
        <v>948</v>
      </c>
      <c r="C50" s="223"/>
      <c r="D50" s="223"/>
      <c r="E50" s="223"/>
      <c r="F50" s="223"/>
      <c r="G50" s="223"/>
      <c r="H50" s="223"/>
      <c r="I50" s="223"/>
      <c r="J50" s="5">
        <f>IF(AND($P44&lt;&gt;"X",$P47&lt;&gt;"X"),J49*0.03,0)</f>
        <v>0</v>
      </c>
      <c r="K50" s="5">
        <f>IF(AND($P44&lt;&gt;"X",$P47&lt;&gt;"X"),K49*0.03,0)</f>
        <v>0</v>
      </c>
      <c r="L50" s="22">
        <f>IF(AND($P44&lt;&gt;"X",$P47&lt;&gt;"X"),L49*0.03,0)</f>
        <v>0</v>
      </c>
      <c r="M50" s="22">
        <f>IF(AND($P44&lt;&gt;"X",$P47&lt;&gt;"X"),M49*0.03,0)</f>
        <v>0</v>
      </c>
      <c r="N50" s="22">
        <f>IF(AND($P44&lt;&gt;"X",$P47&lt;&gt;"X"),N49*0.03,0)</f>
        <v>0</v>
      </c>
      <c r="O50" s="4">
        <v>23</v>
      </c>
      <c r="P50" s="20">
        <f t="shared" si="5"/>
        <v>0</v>
      </c>
    </row>
    <row r="51" spans="1:16" ht="45" customHeight="1" x14ac:dyDescent="0.35">
      <c r="A51" s="4" t="s">
        <v>946</v>
      </c>
      <c r="B51" s="229" t="s">
        <v>947</v>
      </c>
      <c r="C51" s="229"/>
      <c r="D51" s="229"/>
      <c r="E51" s="229"/>
      <c r="F51" s="229"/>
      <c r="G51" s="229"/>
      <c r="H51" s="229"/>
      <c r="I51" s="229"/>
      <c r="J51" s="99"/>
      <c r="K51" s="99"/>
      <c r="L51" s="111"/>
      <c r="M51" s="111"/>
      <c r="N51" s="111"/>
      <c r="O51" s="4"/>
      <c r="P51" s="20">
        <f>SUM(J51:N51)</f>
        <v>0</v>
      </c>
    </row>
    <row r="52" spans="1:16" ht="42.5" customHeight="1" x14ac:dyDescent="0.35">
      <c r="A52" s="4">
        <v>24</v>
      </c>
      <c r="B52" s="224" t="s">
        <v>968</v>
      </c>
      <c r="C52" s="224"/>
      <c r="D52" s="224"/>
      <c r="E52" s="224"/>
      <c r="F52" s="224"/>
      <c r="G52" s="224"/>
      <c r="H52" s="224"/>
      <c r="I52" s="224"/>
      <c r="J52" s="5">
        <f>IF(AND(J49&gt;0,$P43=0,$P44=0,$P45=0,$P46=0,$P47=0),J49*0.03,0)</f>
        <v>0</v>
      </c>
      <c r="K52" s="5">
        <f>IF(AND(K49&gt;0,$P43=0,$P44=0,$P45=0,$P46=0,$P47=0),K49*0.03,0)</f>
        <v>0</v>
      </c>
      <c r="L52" s="5">
        <f>IF(AND(L49&gt;0,$P43=0,$P44=0,$P45=0,$P46=0,$P47=0),L49*0.03,0)</f>
        <v>0</v>
      </c>
      <c r="M52" s="5">
        <f>IF(AND(M49&gt;0,$P43=0,$P44=0,$P45=0,$P46=0,$P47=0),M49*0.03,0)</f>
        <v>0</v>
      </c>
      <c r="N52" s="5">
        <f>IF(AND(N49&gt;0,$P43=0,$P44=0,$P45=0,$P46=0,$P47=0),N49*0.03,0)</f>
        <v>0</v>
      </c>
      <c r="O52" s="4">
        <v>24</v>
      </c>
      <c r="P52" s="20">
        <f t="shared" si="5"/>
        <v>0</v>
      </c>
    </row>
    <row r="53" spans="1:16" ht="58.5" customHeight="1" x14ac:dyDescent="0.35">
      <c r="A53" s="4">
        <v>25</v>
      </c>
      <c r="B53" s="225" t="s">
        <v>967</v>
      </c>
      <c r="C53" s="226"/>
      <c r="D53" s="226"/>
      <c r="E53" s="226"/>
      <c r="F53" s="226"/>
      <c r="G53" s="226"/>
      <c r="H53" s="226"/>
      <c r="I53" s="227"/>
      <c r="J53" s="99">
        <f>IF(OR(P44&lt;&gt;"x",P47&lt;&gt;"x"),J21+J28,"")</f>
        <v>0</v>
      </c>
      <c r="K53" s="111">
        <f>IF(OR(P44&lt;&gt;"x",P47&lt;&gt;"x"),K21+K28,"")</f>
        <v>0</v>
      </c>
      <c r="L53" s="111">
        <f>IF(OR(P44&lt;&gt;"x",P47&lt;&gt;"x"),L21+L28,"")</f>
        <v>0</v>
      </c>
      <c r="M53" s="111">
        <f>IF(OR(P44&lt;&gt;"x",P47&lt;&gt;"x"),M21+M28,"")</f>
        <v>0</v>
      </c>
      <c r="N53" s="111">
        <f>IF(OR(P44&lt;&gt;"x",P47&lt;&gt;"x"),N21+N28,"")</f>
        <v>0</v>
      </c>
      <c r="O53" s="4">
        <v>25</v>
      </c>
      <c r="P53" s="20">
        <f t="shared" si="5"/>
        <v>0</v>
      </c>
    </row>
    <row r="54" spans="1:16" ht="43" customHeight="1" x14ac:dyDescent="0.35">
      <c r="A54" s="4">
        <v>26</v>
      </c>
      <c r="B54" s="228" t="s">
        <v>969</v>
      </c>
      <c r="C54" s="223"/>
      <c r="D54" s="223"/>
      <c r="E54" s="223"/>
      <c r="F54" s="223"/>
      <c r="G54" s="223"/>
      <c r="H54" s="223"/>
      <c r="I54" s="223"/>
      <c r="J54" s="99"/>
      <c r="K54" s="99"/>
      <c r="L54" s="99"/>
      <c r="M54" s="99"/>
      <c r="N54" s="99"/>
      <c r="O54" s="4">
        <v>26</v>
      </c>
      <c r="P54" s="20">
        <f>IF(SUM(J54:N54)&gt;500,500,SUM(J54:N54))</f>
        <v>0</v>
      </c>
    </row>
    <row r="55" spans="1:16" ht="38.5" customHeight="1" x14ac:dyDescent="0.35">
      <c r="A55" s="4">
        <v>27</v>
      </c>
      <c r="B55" s="214" t="s">
        <v>30</v>
      </c>
      <c r="C55" s="214"/>
      <c r="D55" s="214"/>
      <c r="E55" s="214"/>
      <c r="F55" s="214"/>
      <c r="G55" s="214"/>
      <c r="H55" s="214"/>
      <c r="I55" s="214"/>
      <c r="J55" s="99"/>
      <c r="K55" s="99"/>
      <c r="L55" s="99"/>
      <c r="M55" s="99"/>
      <c r="N55" s="99"/>
      <c r="O55" s="4">
        <v>27</v>
      </c>
      <c r="P55" s="20">
        <f t="shared" si="5"/>
        <v>0</v>
      </c>
    </row>
    <row r="56" spans="1:16" ht="32.5" customHeight="1" x14ac:dyDescent="0.35">
      <c r="A56" s="4">
        <v>28</v>
      </c>
      <c r="B56" s="215" t="s">
        <v>989</v>
      </c>
      <c r="C56" s="215"/>
      <c r="D56" s="215"/>
      <c r="E56" s="215"/>
      <c r="F56" s="215"/>
      <c r="G56" s="215"/>
      <c r="H56" s="215"/>
      <c r="I56" s="215"/>
      <c r="J56" s="5">
        <f>J48+J50+J51+J52+J54+J55</f>
        <v>0</v>
      </c>
      <c r="K56" s="5">
        <f>K48+K50+K51+K52+K54+K55</f>
        <v>0</v>
      </c>
      <c r="L56" s="5">
        <f>L48+L50+L51+L52+L54+L55</f>
        <v>0</v>
      </c>
      <c r="M56" s="5">
        <f>M48+M50+M51+M52+M54+M55</f>
        <v>0</v>
      </c>
      <c r="N56" s="5">
        <f>N48+N50+N51+N52+N54+N55</f>
        <v>0</v>
      </c>
      <c r="O56" s="4">
        <v>28</v>
      </c>
      <c r="P56" s="20">
        <f t="shared" si="5"/>
        <v>0</v>
      </c>
    </row>
    <row r="57" spans="1:16" ht="27" customHeight="1" x14ac:dyDescent="0.35">
      <c r="A57" s="216" t="s">
        <v>31</v>
      </c>
      <c r="B57" s="217"/>
      <c r="C57" s="217"/>
      <c r="D57" s="217"/>
      <c r="E57" s="217"/>
      <c r="F57" s="217"/>
      <c r="G57" s="217"/>
      <c r="H57" s="217"/>
      <c r="I57" s="217"/>
      <c r="J57" s="217"/>
      <c r="K57" s="217"/>
      <c r="L57" s="217"/>
      <c r="M57" s="217"/>
      <c r="N57" s="217"/>
      <c r="O57" s="217"/>
      <c r="P57" s="218"/>
    </row>
    <row r="58" spans="1:16" ht="22" customHeight="1" x14ac:dyDescent="0.35">
      <c r="A58" s="4">
        <v>29</v>
      </c>
      <c r="B58" s="204" t="s">
        <v>949</v>
      </c>
      <c r="C58" s="205"/>
      <c r="D58" s="205"/>
      <c r="E58" s="205"/>
      <c r="F58" s="205"/>
      <c r="G58" s="205"/>
      <c r="H58" s="205"/>
      <c r="I58" s="205"/>
      <c r="J58" s="110"/>
      <c r="K58" s="110"/>
      <c r="L58" s="110"/>
      <c r="M58" s="110"/>
      <c r="N58" s="110"/>
      <c r="O58" s="4">
        <v>32</v>
      </c>
      <c r="P58" s="5">
        <f>SUM(J58:N58)</f>
        <v>0</v>
      </c>
    </row>
    <row r="59" spans="1:16" ht="78" customHeight="1" x14ac:dyDescent="0.35">
      <c r="A59" s="206" t="s">
        <v>988</v>
      </c>
      <c r="B59" s="207"/>
      <c r="C59" s="207"/>
      <c r="D59" s="207"/>
      <c r="E59" s="207"/>
      <c r="F59" s="207"/>
      <c r="G59" s="207"/>
      <c r="H59" s="207"/>
      <c r="I59" s="207"/>
      <c r="J59" s="119" t="str">
        <f>IF(C6="Church Name - Dropdown","Church A",C6)</f>
        <v>Church A</v>
      </c>
      <c r="K59" s="119" t="str">
        <f>IF(F6="Church Name - Dropdown","Church B",F6)</f>
        <v>Church B</v>
      </c>
      <c r="L59" s="119" t="str">
        <f>IF(J6="Church Name - Dropdown","Church C",J6)</f>
        <v>Church C</v>
      </c>
      <c r="M59" s="119" t="str">
        <f>IF(M6="Church Name - Dropdown","Church D",M6)</f>
        <v>Church D</v>
      </c>
      <c r="N59" s="119" t="str">
        <f>IF(O6="Church Name - Dropdown","Church E",O6)</f>
        <v>Church E</v>
      </c>
      <c r="O59" s="23"/>
      <c r="P59" s="11" t="s">
        <v>11</v>
      </c>
    </row>
    <row r="60" spans="1:16" ht="23" customHeight="1" x14ac:dyDescent="0.35">
      <c r="A60" s="4">
        <v>33</v>
      </c>
      <c r="B60" s="208" t="s">
        <v>32</v>
      </c>
      <c r="C60" s="209"/>
      <c r="D60" s="209"/>
      <c r="E60" s="209"/>
      <c r="F60" s="209"/>
      <c r="G60" s="209"/>
      <c r="H60" s="209"/>
      <c r="I60" s="210"/>
      <c r="J60" s="24">
        <f>SUM(J32+J56+J58)</f>
        <v>0</v>
      </c>
      <c r="K60" s="24">
        <f>SUM(K32+K56+K58)</f>
        <v>0</v>
      </c>
      <c r="L60" s="24">
        <f>SUM(L32+L56+L58)</f>
        <v>0</v>
      </c>
      <c r="M60" s="24">
        <f>SUM(M32+M56+M58)</f>
        <v>0</v>
      </c>
      <c r="N60" s="24">
        <f>SUM(N32+N56+N58)</f>
        <v>0</v>
      </c>
      <c r="O60" s="4">
        <v>33</v>
      </c>
      <c r="P60" s="24">
        <f>SUM(J60:N60)</f>
        <v>0</v>
      </c>
    </row>
    <row r="61" spans="1:16" x14ac:dyDescent="0.35">
      <c r="A61" s="25"/>
      <c r="B61" s="21"/>
      <c r="C61" s="21"/>
      <c r="D61" s="21"/>
      <c r="E61" s="21"/>
      <c r="F61" s="21"/>
      <c r="G61" s="21"/>
      <c r="H61" s="21"/>
      <c r="I61" s="21"/>
      <c r="J61" s="6"/>
      <c r="K61" s="6"/>
      <c r="L61" s="6"/>
      <c r="M61" s="6"/>
      <c r="N61" s="6"/>
      <c r="O61" s="26"/>
      <c r="P61" s="6"/>
    </row>
    <row r="62" spans="1:16" x14ac:dyDescent="0.35">
      <c r="A62" s="211" t="s">
        <v>33</v>
      </c>
      <c r="B62" s="211"/>
      <c r="C62" s="211"/>
      <c r="D62" s="211"/>
      <c r="E62" s="211"/>
      <c r="F62" s="211"/>
      <c r="G62" s="211"/>
      <c r="H62" s="211"/>
      <c r="I62" s="211"/>
      <c r="J62" s="211"/>
      <c r="K62" s="211"/>
      <c r="L62" s="211"/>
      <c r="M62" s="211"/>
      <c r="N62" s="211"/>
      <c r="O62" s="211"/>
      <c r="P62" s="211"/>
    </row>
    <row r="63" spans="1:16" ht="31.5" customHeight="1" x14ac:dyDescent="0.35">
      <c r="A63" s="211"/>
      <c r="B63" s="211"/>
      <c r="C63" s="211"/>
      <c r="D63" s="211"/>
      <c r="E63" s="211"/>
      <c r="F63" s="211"/>
      <c r="G63" s="211"/>
      <c r="H63" s="211"/>
      <c r="I63" s="211"/>
      <c r="J63" s="211"/>
      <c r="K63" s="211"/>
      <c r="L63" s="211"/>
      <c r="M63" s="211"/>
      <c r="N63" s="211"/>
      <c r="O63" s="211"/>
      <c r="P63" s="211"/>
    </row>
    <row r="64" spans="1:16" x14ac:dyDescent="0.35">
      <c r="A64" s="27"/>
      <c r="B64" s="27"/>
      <c r="C64" s="27"/>
      <c r="D64" s="27"/>
      <c r="E64" s="27"/>
      <c r="F64" s="27"/>
      <c r="G64" s="27"/>
      <c r="H64" s="27"/>
      <c r="I64" s="27"/>
      <c r="J64" s="27"/>
      <c r="K64" s="27"/>
      <c r="L64" s="27"/>
      <c r="M64" s="27"/>
      <c r="N64" s="27"/>
      <c r="O64" s="27"/>
      <c r="P64" s="27"/>
    </row>
    <row r="65" spans="1:16" x14ac:dyDescent="0.35">
      <c r="A65" s="212" t="s">
        <v>973</v>
      </c>
      <c r="B65" s="212"/>
      <c r="C65" s="212"/>
      <c r="D65" s="212"/>
      <c r="E65" s="212"/>
      <c r="F65" s="212"/>
      <c r="G65" s="212"/>
      <c r="H65" s="212"/>
      <c r="I65" s="212"/>
      <c r="J65" s="212"/>
      <c r="K65" s="212"/>
      <c r="L65" s="212"/>
      <c r="M65" s="212"/>
      <c r="N65" s="212"/>
      <c r="O65" s="212"/>
      <c r="P65" s="212"/>
    </row>
    <row r="66" spans="1:16" x14ac:dyDescent="0.35">
      <c r="A66" s="212"/>
      <c r="B66" s="212"/>
      <c r="C66" s="212"/>
      <c r="D66" s="212"/>
      <c r="E66" s="212"/>
      <c r="F66" s="212"/>
      <c r="G66" s="212"/>
      <c r="H66" s="212"/>
      <c r="I66" s="212"/>
      <c r="J66" s="212"/>
      <c r="K66" s="212"/>
      <c r="L66" s="212"/>
      <c r="M66" s="212"/>
      <c r="N66" s="212"/>
      <c r="O66" s="212"/>
      <c r="P66" s="212"/>
    </row>
    <row r="67" spans="1:16" ht="27.5" customHeight="1" x14ac:dyDescent="0.35">
      <c r="A67" s="212"/>
      <c r="B67" s="212"/>
      <c r="C67" s="212"/>
      <c r="D67" s="212"/>
      <c r="E67" s="212"/>
      <c r="F67" s="212"/>
      <c r="G67" s="212"/>
      <c r="H67" s="212"/>
      <c r="I67" s="212"/>
      <c r="J67" s="212"/>
      <c r="K67" s="212"/>
      <c r="L67" s="212"/>
      <c r="M67" s="212"/>
      <c r="N67" s="212"/>
      <c r="O67" s="212"/>
      <c r="P67" s="212"/>
    </row>
    <row r="68" spans="1:16" x14ac:dyDescent="0.35">
      <c r="J68" s="28"/>
      <c r="K68" s="28"/>
      <c r="L68" s="28"/>
      <c r="M68" s="28"/>
      <c r="N68" s="28"/>
      <c r="O68" s="28"/>
      <c r="P68" s="28"/>
    </row>
    <row r="69" spans="1:16" x14ac:dyDescent="0.35">
      <c r="A69" s="154" t="s">
        <v>34</v>
      </c>
      <c r="B69" s="154"/>
      <c r="C69" s="154"/>
      <c r="D69" s="154"/>
      <c r="E69" s="154"/>
      <c r="F69" s="213"/>
      <c r="G69" s="213"/>
      <c r="H69" s="213"/>
      <c r="I69" s="213"/>
      <c r="J69" s="213"/>
      <c r="K69" s="28"/>
      <c r="L69" s="28"/>
      <c r="M69" s="28"/>
      <c r="N69" s="28"/>
      <c r="O69" s="28"/>
      <c r="P69" s="28"/>
    </row>
    <row r="70" spans="1:16" x14ac:dyDescent="0.35">
      <c r="A70" s="29"/>
      <c r="B70" s="29"/>
      <c r="C70" s="29"/>
      <c r="D70" s="30"/>
      <c r="E70" s="30"/>
      <c r="F70" s="30"/>
      <c r="G70" s="30"/>
      <c r="H70" s="30"/>
      <c r="I70" s="30"/>
      <c r="J70" s="28"/>
      <c r="K70" s="28"/>
      <c r="L70" s="28"/>
      <c r="M70" s="28"/>
      <c r="N70" s="28"/>
      <c r="O70" s="28"/>
      <c r="P70" s="28"/>
    </row>
    <row r="71" spans="1:16" ht="16" x14ac:dyDescent="0.4">
      <c r="A71" s="29"/>
      <c r="B71" s="29"/>
      <c r="C71" s="29"/>
      <c r="D71" s="201" t="s">
        <v>35</v>
      </c>
      <c r="E71" s="201"/>
      <c r="F71" s="201"/>
      <c r="G71" s="201"/>
      <c r="H71" s="201"/>
      <c r="I71" s="201"/>
      <c r="J71" s="31" t="s">
        <v>36</v>
      </c>
      <c r="K71" s="202" t="s">
        <v>37</v>
      </c>
      <c r="L71" s="202"/>
      <c r="M71" s="202"/>
      <c r="N71" s="202"/>
      <c r="O71" s="202"/>
      <c r="P71" s="202"/>
    </row>
    <row r="72" spans="1:16" ht="16" x14ac:dyDescent="0.4">
      <c r="A72" s="194" t="s">
        <v>38</v>
      </c>
      <c r="B72" s="194"/>
      <c r="C72" s="194"/>
      <c r="D72" s="151"/>
      <c r="E72" s="151"/>
      <c r="F72" s="151"/>
      <c r="G72" s="151"/>
      <c r="H72" s="151"/>
      <c r="I72" s="151"/>
      <c r="J72" s="32"/>
      <c r="K72" s="198"/>
      <c r="L72" s="151"/>
      <c r="M72" s="151"/>
      <c r="N72" s="151"/>
      <c r="O72" s="151"/>
      <c r="P72" s="151"/>
    </row>
    <row r="73" spans="1:16" ht="16" x14ac:dyDescent="0.4">
      <c r="A73" s="194" t="s">
        <v>39</v>
      </c>
      <c r="B73" s="194"/>
      <c r="C73" s="194"/>
      <c r="D73" s="195"/>
      <c r="E73" s="195"/>
      <c r="F73" s="195"/>
      <c r="G73" s="195"/>
      <c r="H73" s="195"/>
      <c r="I73" s="195"/>
      <c r="J73" s="32"/>
      <c r="K73" s="203"/>
      <c r="L73" s="195"/>
      <c r="M73" s="195"/>
      <c r="N73" s="195"/>
      <c r="O73" s="195"/>
      <c r="P73" s="195"/>
    </row>
    <row r="74" spans="1:16" ht="16" x14ac:dyDescent="0.4">
      <c r="A74" s="194" t="s">
        <v>40</v>
      </c>
      <c r="B74" s="194"/>
      <c r="C74" s="194"/>
      <c r="D74" s="195"/>
      <c r="E74" s="195"/>
      <c r="F74" s="195"/>
      <c r="G74" s="195"/>
      <c r="H74" s="195"/>
      <c r="I74" s="195"/>
      <c r="J74" s="32"/>
      <c r="K74" s="195"/>
      <c r="L74" s="195"/>
      <c r="M74" s="195"/>
      <c r="N74" s="195"/>
      <c r="O74" s="195"/>
      <c r="P74" s="195"/>
    </row>
    <row r="75" spans="1:16" ht="16" x14ac:dyDescent="0.4">
      <c r="A75" s="194" t="s">
        <v>41</v>
      </c>
      <c r="B75" s="194"/>
      <c r="C75" s="194"/>
      <c r="D75" s="195"/>
      <c r="E75" s="195"/>
      <c r="F75" s="195"/>
      <c r="G75" s="195"/>
      <c r="H75" s="195"/>
      <c r="I75" s="195"/>
      <c r="J75" s="32"/>
      <c r="K75" s="199"/>
      <c r="L75" s="199"/>
      <c r="M75" s="199"/>
      <c r="N75" s="199"/>
      <c r="O75" s="199"/>
      <c r="P75" s="199"/>
    </row>
    <row r="76" spans="1:16" ht="16" x14ac:dyDescent="0.4">
      <c r="A76" s="194" t="s">
        <v>913</v>
      </c>
      <c r="B76" s="194"/>
      <c r="C76" s="194"/>
      <c r="D76" s="195"/>
      <c r="E76" s="195"/>
      <c r="F76" s="195"/>
      <c r="G76" s="195"/>
      <c r="H76" s="195"/>
      <c r="I76" s="195"/>
      <c r="J76" s="32"/>
      <c r="K76" s="200"/>
      <c r="L76" s="200"/>
      <c r="M76" s="200"/>
      <c r="N76" s="200"/>
      <c r="O76" s="200"/>
      <c r="P76" s="200"/>
    </row>
    <row r="77" spans="1:16" ht="16" x14ac:dyDescent="0.4">
      <c r="A77" s="194" t="s">
        <v>914</v>
      </c>
      <c r="B77" s="194"/>
      <c r="C77" s="194"/>
      <c r="D77" s="195"/>
      <c r="E77" s="195"/>
      <c r="F77" s="195"/>
      <c r="G77" s="195"/>
      <c r="H77" s="195"/>
      <c r="I77" s="195"/>
      <c r="J77" s="32"/>
      <c r="K77" s="200"/>
      <c r="L77" s="200"/>
      <c r="M77" s="200"/>
      <c r="N77" s="200"/>
      <c r="O77" s="200"/>
      <c r="P77" s="200"/>
    </row>
    <row r="78" spans="1:16" ht="16" x14ac:dyDescent="0.4">
      <c r="A78" s="194" t="s">
        <v>42</v>
      </c>
      <c r="B78" s="194"/>
      <c r="C78" s="194"/>
      <c r="D78" s="195"/>
      <c r="E78" s="195"/>
      <c r="F78" s="195"/>
      <c r="G78" s="195"/>
      <c r="H78" s="195"/>
      <c r="I78" s="195"/>
      <c r="J78" s="32"/>
      <c r="K78" s="198"/>
      <c r="L78" s="151"/>
      <c r="M78" s="151"/>
      <c r="N78" s="151"/>
      <c r="O78" s="151"/>
      <c r="P78" s="151"/>
    </row>
    <row r="79" spans="1:16" ht="16" x14ac:dyDescent="0.4">
      <c r="A79" s="194" t="s">
        <v>43</v>
      </c>
      <c r="B79" s="194"/>
      <c r="C79" s="194"/>
      <c r="D79" s="195"/>
      <c r="E79" s="195"/>
      <c r="F79" s="195"/>
      <c r="G79" s="195"/>
      <c r="H79" s="195"/>
      <c r="I79" s="195"/>
      <c r="J79" s="32"/>
      <c r="K79" s="151"/>
      <c r="L79" s="151"/>
      <c r="M79" s="151"/>
      <c r="N79" s="151"/>
      <c r="O79" s="151"/>
      <c r="P79" s="151"/>
    </row>
    <row r="80" spans="1:16" ht="16" x14ac:dyDescent="0.4">
      <c r="A80" s="194" t="s">
        <v>44</v>
      </c>
      <c r="B80" s="194"/>
      <c r="C80" s="194"/>
      <c r="D80" s="195"/>
      <c r="E80" s="195"/>
      <c r="F80" s="195"/>
      <c r="G80" s="195"/>
      <c r="H80" s="195"/>
      <c r="I80" s="195"/>
      <c r="J80" s="32"/>
      <c r="K80" s="151"/>
      <c r="L80" s="151"/>
      <c r="M80" s="151"/>
      <c r="N80" s="151"/>
      <c r="O80" s="151"/>
      <c r="P80" s="151"/>
    </row>
    <row r="81" spans="1:16" ht="16" x14ac:dyDescent="0.4">
      <c r="A81" s="194" t="s">
        <v>915</v>
      </c>
      <c r="B81" s="194"/>
      <c r="C81" s="194"/>
      <c r="D81" s="195"/>
      <c r="E81" s="195"/>
      <c r="F81" s="195"/>
      <c r="G81" s="195"/>
      <c r="H81" s="195"/>
      <c r="I81" s="195"/>
      <c r="J81" s="32"/>
      <c r="K81" s="195"/>
      <c r="L81" s="195"/>
      <c r="M81" s="195"/>
      <c r="N81" s="195"/>
      <c r="O81" s="195"/>
      <c r="P81" s="195"/>
    </row>
    <row r="82" spans="1:16" ht="16" x14ac:dyDescent="0.4">
      <c r="A82" s="194" t="s">
        <v>916</v>
      </c>
      <c r="B82" s="194"/>
      <c r="C82" s="194"/>
      <c r="D82" s="195"/>
      <c r="E82" s="195"/>
      <c r="F82" s="195"/>
      <c r="G82" s="195"/>
      <c r="H82" s="195"/>
      <c r="I82" s="195"/>
      <c r="J82" s="32"/>
      <c r="K82" s="195"/>
      <c r="L82" s="195"/>
      <c r="M82" s="195"/>
      <c r="N82" s="195"/>
      <c r="O82" s="195"/>
      <c r="P82" s="195"/>
    </row>
    <row r="83" spans="1:16" ht="16" x14ac:dyDescent="0.4">
      <c r="A83" s="196" t="s">
        <v>45</v>
      </c>
      <c r="B83" s="196"/>
      <c r="C83" s="196"/>
      <c r="D83" s="195"/>
      <c r="E83" s="195"/>
      <c r="F83" s="195"/>
      <c r="G83" s="195"/>
      <c r="H83" s="195"/>
      <c r="I83" s="195"/>
      <c r="J83" s="32"/>
      <c r="K83" s="197"/>
      <c r="L83" s="197"/>
      <c r="M83" s="197"/>
      <c r="N83" s="197"/>
      <c r="O83" s="197"/>
      <c r="P83" s="197"/>
    </row>
    <row r="84" spans="1:16" x14ac:dyDescent="0.35">
      <c r="A84" s="191"/>
      <c r="B84" s="191"/>
      <c r="C84" s="191"/>
      <c r="D84" s="191"/>
      <c r="E84" s="191"/>
      <c r="F84" s="191"/>
      <c r="G84" s="191"/>
      <c r="H84" s="191"/>
      <c r="I84" s="191"/>
      <c r="J84" s="191"/>
      <c r="K84" s="191"/>
      <c r="L84" s="191"/>
      <c r="M84" s="191"/>
      <c r="N84" s="191"/>
      <c r="O84" s="191"/>
      <c r="P84" s="191"/>
    </row>
    <row r="86" spans="1:16" ht="18.5" x14ac:dyDescent="0.45">
      <c r="A86" s="171" t="s">
        <v>950</v>
      </c>
      <c r="B86" s="192"/>
      <c r="C86" s="192"/>
      <c r="D86" s="192"/>
      <c r="E86" s="192"/>
      <c r="F86" s="192"/>
      <c r="G86" s="192"/>
      <c r="H86" s="192"/>
      <c r="I86" s="192"/>
      <c r="J86" s="192"/>
      <c r="K86" s="192"/>
      <c r="L86" s="192"/>
      <c r="M86" s="192"/>
      <c r="N86" s="192"/>
      <c r="O86" s="192"/>
      <c r="P86" s="192"/>
    </row>
    <row r="88" spans="1:16" x14ac:dyDescent="0.35">
      <c r="A88" s="161" t="s">
        <v>923</v>
      </c>
      <c r="B88" s="161"/>
      <c r="C88" s="161"/>
      <c r="D88" s="161"/>
      <c r="E88" s="161"/>
      <c r="F88" s="161"/>
      <c r="G88" s="161"/>
      <c r="H88" s="161"/>
      <c r="I88" s="161"/>
      <c r="J88" s="161"/>
      <c r="K88" s="161"/>
      <c r="L88" s="161"/>
      <c r="M88" s="161"/>
      <c r="N88" s="161"/>
      <c r="O88" s="161"/>
      <c r="P88" s="161"/>
    </row>
    <row r="89" spans="1:16" x14ac:dyDescent="0.35">
      <c r="A89" s="161"/>
      <c r="B89" s="161"/>
      <c r="C89" s="161"/>
      <c r="D89" s="161"/>
      <c r="E89" s="161"/>
      <c r="F89" s="161"/>
      <c r="G89" s="161"/>
      <c r="H89" s="161"/>
      <c r="I89" s="161"/>
      <c r="J89" s="161"/>
      <c r="K89" s="161"/>
      <c r="L89" s="161"/>
      <c r="M89" s="161"/>
      <c r="N89" s="161"/>
      <c r="O89" s="161"/>
      <c r="P89" s="161"/>
    </row>
    <row r="90" spans="1:16" x14ac:dyDescent="0.35">
      <c r="A90" s="161"/>
      <c r="B90" s="161"/>
      <c r="C90" s="161"/>
      <c r="D90" s="161"/>
      <c r="E90" s="161"/>
      <c r="F90" s="161"/>
      <c r="G90" s="161"/>
      <c r="H90" s="161"/>
      <c r="I90" s="161"/>
      <c r="J90" s="161"/>
      <c r="K90" s="161"/>
      <c r="L90" s="161"/>
      <c r="M90" s="161"/>
      <c r="N90" s="161"/>
      <c r="O90" s="161"/>
      <c r="P90" s="161"/>
    </row>
    <row r="91" spans="1:16" x14ac:dyDescent="0.35">
      <c r="A91" s="161"/>
      <c r="B91" s="161"/>
      <c r="C91" s="161"/>
      <c r="D91" s="161"/>
      <c r="E91" s="161"/>
      <c r="F91" s="161"/>
      <c r="G91" s="161"/>
      <c r="H91" s="161"/>
      <c r="I91" s="161"/>
      <c r="J91" s="161"/>
      <c r="K91" s="161"/>
      <c r="L91" s="161"/>
      <c r="M91" s="161"/>
      <c r="N91" s="161"/>
      <c r="O91" s="161"/>
      <c r="P91" s="161"/>
    </row>
    <row r="92" spans="1:16" x14ac:dyDescent="0.35">
      <c r="A92" s="161"/>
      <c r="B92" s="161"/>
      <c r="C92" s="161"/>
      <c r="D92" s="161"/>
      <c r="E92" s="161"/>
      <c r="F92" s="161"/>
      <c r="G92" s="161"/>
      <c r="H92" s="161"/>
      <c r="I92" s="161"/>
      <c r="J92" s="161"/>
      <c r="K92" s="161"/>
      <c r="L92" s="161"/>
      <c r="M92" s="161"/>
      <c r="N92" s="161"/>
      <c r="O92" s="161"/>
      <c r="P92" s="161"/>
    </row>
    <row r="93" spans="1:16" x14ac:dyDescent="0.35">
      <c r="A93" s="33"/>
      <c r="B93" s="33"/>
      <c r="C93" s="33"/>
      <c r="D93" s="33"/>
      <c r="E93" s="33"/>
      <c r="F93" s="33"/>
      <c r="G93" s="33"/>
      <c r="H93" s="33"/>
      <c r="I93" s="33"/>
      <c r="J93" s="33"/>
      <c r="K93" s="33"/>
      <c r="L93" s="33"/>
      <c r="M93" s="33"/>
      <c r="N93" s="33"/>
      <c r="O93" s="33"/>
      <c r="P93" s="33"/>
    </row>
    <row r="94" spans="1:16" x14ac:dyDescent="0.35">
      <c r="A94" s="193" t="s">
        <v>984</v>
      </c>
      <c r="B94" s="193"/>
      <c r="C94" s="193"/>
      <c r="D94" s="193"/>
      <c r="E94" s="193"/>
      <c r="F94" s="193"/>
      <c r="G94" s="193"/>
      <c r="H94" s="193"/>
      <c r="I94" s="193"/>
      <c r="J94" s="193"/>
      <c r="K94" s="193"/>
      <c r="L94" s="193"/>
      <c r="M94" s="193"/>
      <c r="N94" s="193"/>
      <c r="O94" s="193"/>
      <c r="P94" s="193"/>
    </row>
    <row r="95" spans="1:16" ht="29" customHeight="1" x14ac:dyDescent="0.35">
      <c r="A95" s="193"/>
      <c r="B95" s="193"/>
      <c r="C95" s="193"/>
      <c r="D95" s="193"/>
      <c r="E95" s="193"/>
      <c r="F95" s="193"/>
      <c r="G95" s="193"/>
      <c r="H95" s="193"/>
      <c r="I95" s="193"/>
      <c r="J95" s="193"/>
      <c r="K95" s="193"/>
      <c r="L95" s="193"/>
      <c r="M95" s="193"/>
      <c r="N95" s="193"/>
      <c r="O95" s="193"/>
      <c r="P95" s="193"/>
    </row>
    <row r="96" spans="1:16" ht="16" x14ac:dyDescent="0.4">
      <c r="A96" s="34"/>
      <c r="B96" s="34"/>
      <c r="C96" s="34"/>
      <c r="D96" s="34"/>
      <c r="E96" s="34"/>
      <c r="F96" s="34"/>
      <c r="G96" s="34"/>
      <c r="H96" s="34"/>
      <c r="I96" s="34"/>
      <c r="J96" s="34"/>
      <c r="K96" s="34"/>
      <c r="L96" s="34"/>
      <c r="M96" s="34"/>
      <c r="N96" s="34"/>
      <c r="O96" s="34"/>
      <c r="P96" s="34"/>
    </row>
    <row r="97" spans="1:16" ht="16.5" x14ac:dyDescent="0.4">
      <c r="A97" s="183" t="s">
        <v>46</v>
      </c>
      <c r="B97" s="183"/>
      <c r="C97" s="176" t="str">
        <f>IF(A4="","",A4)</f>
        <v/>
      </c>
      <c r="D97" s="176"/>
      <c r="E97" s="176"/>
      <c r="F97" s="176"/>
      <c r="G97" s="35"/>
    </row>
    <row r="98" spans="1:16" ht="16.5" x14ac:dyDescent="0.4">
      <c r="A98" s="183" t="s">
        <v>47</v>
      </c>
      <c r="B98" s="183"/>
      <c r="C98" s="151"/>
      <c r="D98" s="151"/>
      <c r="E98" s="151"/>
      <c r="F98" s="151"/>
      <c r="G98" s="151"/>
      <c r="H98" s="151"/>
      <c r="I98" s="151"/>
      <c r="J98" s="151"/>
      <c r="K98" s="35"/>
    </row>
    <row r="99" spans="1:16" ht="16.5" thickBot="1" x14ac:dyDescent="0.4">
      <c r="A99" s="36"/>
      <c r="B99" s="36"/>
      <c r="C99" s="36"/>
      <c r="D99" s="36"/>
      <c r="E99" s="36"/>
      <c r="F99" s="36"/>
      <c r="G99" s="36"/>
      <c r="H99" s="36"/>
      <c r="I99" s="36"/>
      <c r="J99" s="36"/>
      <c r="K99" s="36"/>
      <c r="L99" s="36"/>
      <c r="M99" s="36"/>
      <c r="N99" s="36"/>
      <c r="O99" s="36"/>
      <c r="P99" s="36"/>
    </row>
    <row r="100" spans="1:16" x14ac:dyDescent="0.35">
      <c r="A100" s="37"/>
      <c r="P100" s="38"/>
    </row>
    <row r="101" spans="1:16" ht="18.5" x14ac:dyDescent="0.45">
      <c r="A101" s="170" t="s">
        <v>48</v>
      </c>
      <c r="B101" s="171"/>
      <c r="C101" s="171"/>
      <c r="D101" s="171"/>
      <c r="E101" s="171"/>
      <c r="F101" s="171"/>
      <c r="G101" s="171"/>
      <c r="H101" s="171"/>
      <c r="I101" s="171"/>
      <c r="J101" s="171"/>
      <c r="K101" s="171"/>
      <c r="L101" s="171"/>
      <c r="M101" s="171"/>
      <c r="N101" s="171"/>
      <c r="O101" s="171"/>
      <c r="P101" s="172"/>
    </row>
    <row r="102" spans="1:16" x14ac:dyDescent="0.35">
      <c r="A102" s="39"/>
      <c r="P102" s="38"/>
    </row>
    <row r="103" spans="1:16" ht="16" x14ac:dyDescent="0.4">
      <c r="A103" s="40"/>
      <c r="B103" s="41"/>
      <c r="C103" s="184" t="s">
        <v>49</v>
      </c>
      <c r="D103" s="184"/>
      <c r="E103" s="184"/>
      <c r="F103" s="184"/>
      <c r="G103" s="184"/>
      <c r="J103" s="185"/>
      <c r="K103" s="185"/>
      <c r="L103" s="185"/>
      <c r="M103" s="185"/>
      <c r="N103" s="185"/>
      <c r="O103" s="185"/>
      <c r="P103" s="186"/>
    </row>
    <row r="104" spans="1:16" ht="16" x14ac:dyDescent="0.4">
      <c r="A104" s="127" t="s">
        <v>50</v>
      </c>
      <c r="B104" s="126"/>
      <c r="C104" s="187" t="str">
        <f>IF(P41&gt;0, IF(J25&gt;0,C6&amp;" - "&amp;"$"&amp;J25,C6&amp;" - "&amp;"$0"),"")</f>
        <v/>
      </c>
      <c r="D104" s="188"/>
      <c r="E104" s="188"/>
      <c r="F104" s="188"/>
      <c r="G104" s="188"/>
      <c r="H104" s="188"/>
      <c r="I104" s="43"/>
      <c r="J104" s="189"/>
      <c r="K104" s="189"/>
      <c r="L104" s="189"/>
      <c r="M104" s="189"/>
      <c r="N104" s="189"/>
      <c r="O104" s="189"/>
      <c r="P104" s="190"/>
    </row>
    <row r="105" spans="1:16" ht="16" x14ac:dyDescent="0.4">
      <c r="A105" s="177" t="s">
        <v>51</v>
      </c>
      <c r="B105" s="178"/>
      <c r="C105" s="179" t="str">
        <f>IF(P41&gt;0, IF(K25&gt;0,F6&amp;" - "&amp;"$"&amp;K25,F6&amp;" - "&amp;"$0"),"")</f>
        <v/>
      </c>
      <c r="D105" s="179"/>
      <c r="E105" s="179"/>
      <c r="F105" s="179"/>
      <c r="G105" s="179"/>
      <c r="H105" s="179"/>
      <c r="I105" s="44"/>
      <c r="J105" s="42"/>
      <c r="K105" s="180"/>
      <c r="L105" s="181"/>
      <c r="M105" s="181"/>
      <c r="N105" s="181"/>
      <c r="O105" s="181"/>
      <c r="P105" s="182"/>
    </row>
    <row r="106" spans="1:16" ht="16" x14ac:dyDescent="0.4">
      <c r="A106" s="127" t="s">
        <v>52</v>
      </c>
      <c r="B106" s="126"/>
      <c r="C106" s="128" t="str">
        <f>IF(P41&gt;0, IF(L25&gt;0,J6&amp;" - "&amp;"$"&amp;L25,J6&amp;" - "&amp;"$0"),"")</f>
        <v/>
      </c>
      <c r="D106" s="128"/>
      <c r="E106" s="128"/>
      <c r="F106" s="128"/>
      <c r="G106" s="128"/>
      <c r="H106" s="128"/>
      <c r="J106" s="42"/>
      <c r="K106" s="180"/>
      <c r="L106" s="181"/>
      <c r="M106" s="181"/>
      <c r="N106" s="181"/>
      <c r="O106" s="181"/>
      <c r="P106" s="182"/>
    </row>
    <row r="107" spans="1:16" ht="16" x14ac:dyDescent="0.4">
      <c r="A107" s="127" t="s">
        <v>133</v>
      </c>
      <c r="B107" s="126"/>
      <c r="C107" s="128" t="str">
        <f>IF(P41&gt;0, IF(M25&gt;0,M6&amp;" - "&amp;"$"&amp;M25,M6&amp;" - "&amp;"$0"),"")</f>
        <v/>
      </c>
      <c r="D107" s="128"/>
      <c r="E107" s="128"/>
      <c r="F107" s="128"/>
      <c r="G107" s="128"/>
      <c r="H107" s="128"/>
      <c r="J107" s="42"/>
      <c r="K107" s="44"/>
      <c r="L107" s="45"/>
      <c r="M107" s="45"/>
      <c r="N107" s="45"/>
      <c r="O107" s="45"/>
      <c r="P107" s="46"/>
    </row>
    <row r="108" spans="1:16" ht="16" x14ac:dyDescent="0.4">
      <c r="A108" s="127" t="s">
        <v>134</v>
      </c>
      <c r="B108" s="126"/>
      <c r="C108" s="128" t="str">
        <f>IF(P41&gt;0, IF(N25&gt;0,O6&amp;" - "&amp;"$"&amp;N25,O6&amp;" - "&amp;"$0"),"")</f>
        <v/>
      </c>
      <c r="D108" s="128"/>
      <c r="E108" s="128"/>
      <c r="F108" s="128"/>
      <c r="G108" s="128"/>
      <c r="H108" s="128"/>
      <c r="J108" s="42"/>
      <c r="K108" s="44"/>
      <c r="L108" s="45"/>
      <c r="M108" s="45"/>
      <c r="N108" s="45"/>
      <c r="O108" s="45"/>
      <c r="P108" s="46"/>
    </row>
    <row r="109" spans="1:16" x14ac:dyDescent="0.35">
      <c r="A109" s="39"/>
      <c r="H109" s="47"/>
      <c r="I109" s="47"/>
      <c r="P109" s="38"/>
    </row>
    <row r="110" spans="1:16" x14ac:dyDescent="0.35">
      <c r="A110" s="164" t="s">
        <v>951</v>
      </c>
      <c r="B110" s="165"/>
      <c r="C110" s="165"/>
      <c r="D110" s="165"/>
      <c r="E110" s="165"/>
      <c r="F110" s="165"/>
      <c r="G110" s="165"/>
      <c r="H110" s="165"/>
      <c r="I110" s="165"/>
      <c r="J110" s="165"/>
      <c r="K110" s="165"/>
      <c r="L110" s="165"/>
      <c r="M110" s="165"/>
      <c r="N110" s="165"/>
      <c r="O110" s="165"/>
      <c r="P110" s="166"/>
    </row>
    <row r="111" spans="1:16" ht="37.5" customHeight="1" thickBot="1" x14ac:dyDescent="0.4">
      <c r="A111" s="167"/>
      <c r="B111" s="168"/>
      <c r="C111" s="168"/>
      <c r="D111" s="168"/>
      <c r="E111" s="168"/>
      <c r="F111" s="168"/>
      <c r="G111" s="168"/>
      <c r="H111" s="168"/>
      <c r="I111" s="168"/>
      <c r="J111" s="168"/>
      <c r="K111" s="168"/>
      <c r="L111" s="168"/>
      <c r="M111" s="168"/>
      <c r="N111" s="168"/>
      <c r="O111" s="168"/>
      <c r="P111" s="169"/>
    </row>
    <row r="113" spans="1:16" ht="15" thickBot="1" x14ac:dyDescent="0.4">
      <c r="A113" s="48"/>
      <c r="B113" s="48"/>
      <c r="C113" s="48"/>
      <c r="D113" s="48"/>
      <c r="E113" s="48"/>
      <c r="F113" s="48"/>
      <c r="G113" s="48"/>
      <c r="H113" s="48"/>
      <c r="I113" s="48"/>
      <c r="J113" s="48"/>
      <c r="K113" s="48"/>
      <c r="L113" s="48"/>
      <c r="M113" s="48"/>
      <c r="N113" s="48"/>
      <c r="O113" s="48"/>
      <c r="P113" s="48"/>
    </row>
    <row r="114" spans="1:16" x14ac:dyDescent="0.35">
      <c r="A114" s="37"/>
      <c r="P114" s="38"/>
    </row>
    <row r="115" spans="1:16" ht="18.5" x14ac:dyDescent="0.45">
      <c r="A115" s="170" t="s">
        <v>53</v>
      </c>
      <c r="B115" s="171"/>
      <c r="C115" s="171"/>
      <c r="D115" s="171"/>
      <c r="E115" s="171"/>
      <c r="F115" s="171"/>
      <c r="G115" s="171"/>
      <c r="H115" s="171"/>
      <c r="I115" s="171"/>
      <c r="J115" s="171"/>
      <c r="K115" s="171"/>
      <c r="L115" s="171"/>
      <c r="M115" s="171"/>
      <c r="N115" s="171"/>
      <c r="O115" s="171"/>
      <c r="P115" s="172"/>
    </row>
    <row r="116" spans="1:16" x14ac:dyDescent="0.35">
      <c r="A116" s="39"/>
      <c r="P116" s="38"/>
    </row>
    <row r="117" spans="1:16" ht="16" x14ac:dyDescent="0.4">
      <c r="A117" s="49"/>
      <c r="B117" s="50"/>
      <c r="C117" s="173" t="s">
        <v>49</v>
      </c>
      <c r="D117" s="173"/>
      <c r="E117" s="173"/>
      <c r="F117" s="173"/>
      <c r="G117" s="51"/>
      <c r="H117" s="52"/>
      <c r="I117" s="53"/>
      <c r="J117" s="174" t="s">
        <v>54</v>
      </c>
      <c r="K117" s="174"/>
      <c r="L117" s="174"/>
      <c r="M117" s="174"/>
      <c r="N117" s="174"/>
      <c r="O117" s="174"/>
      <c r="P117" s="38"/>
    </row>
    <row r="118" spans="1:16" ht="16" x14ac:dyDescent="0.4">
      <c r="A118" s="127" t="s">
        <v>50</v>
      </c>
      <c r="B118" s="126"/>
      <c r="C118" s="175" t="str">
        <f>IF(P41=0, IF(J25&gt;0,C6&amp;" - "&amp;"$"&amp;J25,C6&amp;" - "&amp;"$0"),"")</f>
        <v>Church Name - Dropdown - $0</v>
      </c>
      <c r="D118" s="175"/>
      <c r="E118" s="175"/>
      <c r="F118" s="175"/>
      <c r="G118" s="175"/>
      <c r="H118" s="175"/>
      <c r="I118" s="54" t="s">
        <v>55</v>
      </c>
      <c r="J118" s="176" t="str">
        <f>IF(P41=0, IF(J18&gt;0,C6&amp;" - "&amp;"$"&amp;J18,C6&amp;" - "&amp;"$0"),"")</f>
        <v>Church Name - Dropdown - $0</v>
      </c>
      <c r="K118" s="176"/>
      <c r="L118" s="176"/>
      <c r="M118" s="176"/>
      <c r="N118" s="176"/>
      <c r="O118" s="176"/>
      <c r="P118" s="38"/>
    </row>
    <row r="119" spans="1:16" ht="16" x14ac:dyDescent="0.4">
      <c r="A119" s="127" t="s">
        <v>51</v>
      </c>
      <c r="B119" s="126"/>
      <c r="C119" s="128" t="str">
        <f>IF(P41=0, IF(K25&gt;0,F6&amp;" - "&amp;"$"&amp;K25,F6&amp;" - "&amp;"$0"),"")</f>
        <v>Church Name - Dropdown - $0</v>
      </c>
      <c r="D119" s="128"/>
      <c r="E119" s="128"/>
      <c r="F119" s="128"/>
      <c r="G119" s="128"/>
      <c r="H119" s="128"/>
      <c r="I119" s="55" t="s">
        <v>56</v>
      </c>
      <c r="J119" s="128" t="str">
        <f>IF(P41=0, IF(K18&gt;0,F6&amp;" - "&amp;"$"&amp;K18,F6&amp;" - "&amp;"$0"),"")</f>
        <v>Church Name - Dropdown - $0</v>
      </c>
      <c r="K119" s="128"/>
      <c r="L119" s="128"/>
      <c r="M119" s="128"/>
      <c r="N119" s="128"/>
      <c r="O119" s="128"/>
      <c r="P119" s="56"/>
    </row>
    <row r="120" spans="1:16" ht="16" x14ac:dyDescent="0.4">
      <c r="A120" s="127" t="s">
        <v>52</v>
      </c>
      <c r="B120" s="126"/>
      <c r="C120" s="128" t="str">
        <f>IF(P41=0, IF(L25&gt;0,J6&amp;" - "&amp;"$"&amp;L25,J6&amp;" - "&amp;"$0"),"")</f>
        <v>Church Name - Dropdown - $0</v>
      </c>
      <c r="D120" s="128"/>
      <c r="E120" s="128"/>
      <c r="F120" s="128"/>
      <c r="G120" s="128"/>
      <c r="H120" s="128"/>
      <c r="I120" s="55" t="s">
        <v>57</v>
      </c>
      <c r="J120" s="128" t="str">
        <f>IF(P41=0, IF(L18&gt;0,J6&amp;" - "&amp;"$"&amp;L18,J6&amp;" - "&amp;"$0"),"")</f>
        <v>Church Name - Dropdown - $0</v>
      </c>
      <c r="K120" s="128"/>
      <c r="L120" s="128"/>
      <c r="M120" s="128"/>
      <c r="N120" s="128"/>
      <c r="O120" s="128"/>
      <c r="P120" s="56"/>
    </row>
    <row r="121" spans="1:16" ht="16" x14ac:dyDescent="0.4">
      <c r="A121" s="126" t="s">
        <v>133</v>
      </c>
      <c r="B121" s="126"/>
      <c r="C121" s="128" t="str">
        <f>IF(P41=0, IF(M25&gt;0,M6&amp;" - "&amp;"$"&amp;M25,M6&amp;" - "&amp;"$0"),"")</f>
        <v>Church Name - Dropdown - $0</v>
      </c>
      <c r="D121" s="128"/>
      <c r="E121" s="128"/>
      <c r="F121" s="128"/>
      <c r="G121" s="128"/>
      <c r="H121" s="128"/>
      <c r="I121" s="55" t="s">
        <v>135</v>
      </c>
      <c r="J121" s="128" t="str">
        <f>IF(P41=0, IF(M18&gt;0,M6&amp;" - "&amp;"$"&amp;M18,M6&amp;" - "&amp;"$0"),"")</f>
        <v>Church Name - Dropdown - $0</v>
      </c>
      <c r="K121" s="128"/>
      <c r="L121" s="128"/>
      <c r="M121" s="128"/>
      <c r="N121" s="128"/>
      <c r="O121" s="128"/>
      <c r="P121" s="56"/>
    </row>
    <row r="122" spans="1:16" ht="16" x14ac:dyDescent="0.4">
      <c r="A122" s="127" t="s">
        <v>134</v>
      </c>
      <c r="B122" s="126"/>
      <c r="C122" s="128" t="str">
        <f>IF(P41=0, IF(N25&gt;0,O6&amp;" - "&amp;"$"&amp;N25,O6&amp;" - "&amp;"$0"),"")</f>
        <v>Church Name - Dropdown - $0</v>
      </c>
      <c r="D122" s="128"/>
      <c r="E122" s="128"/>
      <c r="F122" s="128"/>
      <c r="G122" s="128"/>
      <c r="H122" s="128"/>
      <c r="I122" s="55" t="s">
        <v>136</v>
      </c>
      <c r="J122" s="128" t="str">
        <f>IF(P41=0, IF(N18&gt;0,O6&amp;" - "&amp;"$"&amp;N18,O6&amp;" - "&amp;"$0"),"")</f>
        <v>Church Name - Dropdown - $0</v>
      </c>
      <c r="K122" s="128"/>
      <c r="L122" s="128"/>
      <c r="M122" s="128"/>
      <c r="N122" s="128"/>
      <c r="O122" s="128"/>
      <c r="P122" s="56"/>
    </row>
    <row r="123" spans="1:16" ht="16" x14ac:dyDescent="0.4">
      <c r="A123" s="57"/>
      <c r="B123" s="58"/>
      <c r="C123" s="59"/>
      <c r="D123" s="59"/>
      <c r="E123" s="59"/>
      <c r="F123" s="59"/>
      <c r="P123" s="38"/>
    </row>
    <row r="124" spans="1:16" x14ac:dyDescent="0.35">
      <c r="A124" s="155" t="s">
        <v>972</v>
      </c>
      <c r="B124" s="156"/>
      <c r="C124" s="156"/>
      <c r="D124" s="156"/>
      <c r="E124" s="156"/>
      <c r="F124" s="156"/>
      <c r="G124" s="156"/>
      <c r="H124" s="156"/>
      <c r="I124" s="156"/>
      <c r="J124" s="156"/>
      <c r="K124" s="156"/>
      <c r="L124" s="156"/>
      <c r="M124" s="156"/>
      <c r="N124" s="156"/>
      <c r="O124" s="156"/>
      <c r="P124" s="157"/>
    </row>
    <row r="125" spans="1:16" x14ac:dyDescent="0.35">
      <c r="A125" s="155"/>
      <c r="B125" s="156"/>
      <c r="C125" s="156"/>
      <c r="D125" s="156"/>
      <c r="E125" s="156"/>
      <c r="F125" s="156"/>
      <c r="G125" s="156"/>
      <c r="H125" s="156"/>
      <c r="I125" s="156"/>
      <c r="J125" s="156"/>
      <c r="K125" s="156"/>
      <c r="L125" s="156"/>
      <c r="M125" s="156"/>
      <c r="N125" s="156"/>
      <c r="O125" s="156"/>
      <c r="P125" s="157"/>
    </row>
    <row r="126" spans="1:16" ht="42.5" customHeight="1" thickBot="1" x14ac:dyDescent="0.4">
      <c r="A126" s="158"/>
      <c r="B126" s="159"/>
      <c r="C126" s="159"/>
      <c r="D126" s="159"/>
      <c r="E126" s="159"/>
      <c r="F126" s="159"/>
      <c r="G126" s="159"/>
      <c r="H126" s="159"/>
      <c r="I126" s="159"/>
      <c r="J126" s="159"/>
      <c r="K126" s="159"/>
      <c r="L126" s="159"/>
      <c r="M126" s="159"/>
      <c r="N126" s="159"/>
      <c r="O126" s="159"/>
      <c r="P126" s="160"/>
    </row>
    <row r="128" spans="1:16" x14ac:dyDescent="0.35">
      <c r="A128" s="161" t="s">
        <v>58</v>
      </c>
      <c r="B128" s="161"/>
      <c r="C128" s="161"/>
      <c r="D128" s="161"/>
      <c r="E128" s="161"/>
      <c r="F128" s="161"/>
      <c r="G128" s="161"/>
      <c r="H128" s="161"/>
      <c r="I128" s="161"/>
      <c r="J128" s="161"/>
      <c r="K128" s="161"/>
      <c r="L128" s="161"/>
      <c r="M128" s="161"/>
      <c r="N128" s="161"/>
      <c r="O128" s="161"/>
      <c r="P128" s="161"/>
    </row>
    <row r="129" spans="1:16" x14ac:dyDescent="0.35">
      <c r="A129" s="161"/>
      <c r="B129" s="161"/>
      <c r="C129" s="161"/>
      <c r="D129" s="161"/>
      <c r="E129" s="161"/>
      <c r="F129" s="161"/>
      <c r="G129" s="161"/>
      <c r="H129" s="161"/>
      <c r="I129" s="161"/>
      <c r="J129" s="161"/>
      <c r="K129" s="161"/>
      <c r="L129" s="161"/>
      <c r="M129" s="161"/>
      <c r="N129" s="161"/>
      <c r="O129" s="161"/>
      <c r="P129" s="161"/>
    </row>
    <row r="130" spans="1:16" ht="23" customHeight="1" x14ac:dyDescent="0.35">
      <c r="A130" s="161"/>
      <c r="B130" s="161"/>
      <c r="C130" s="161"/>
      <c r="D130" s="161"/>
      <c r="E130" s="161"/>
      <c r="F130" s="161"/>
      <c r="G130" s="161"/>
      <c r="H130" s="161"/>
      <c r="I130" s="161"/>
      <c r="J130" s="161"/>
      <c r="K130" s="161"/>
      <c r="L130" s="161"/>
      <c r="M130" s="161"/>
      <c r="N130" s="161"/>
      <c r="O130" s="161"/>
      <c r="P130" s="161"/>
    </row>
    <row r="131" spans="1:16" x14ac:dyDescent="0.35">
      <c r="A131" s="161" t="s">
        <v>59</v>
      </c>
      <c r="B131" s="161"/>
      <c r="C131" s="161"/>
      <c r="D131" s="161"/>
      <c r="E131" s="161"/>
      <c r="F131" s="161"/>
      <c r="G131" s="161"/>
      <c r="H131" s="161"/>
      <c r="I131" s="161"/>
      <c r="J131" s="161"/>
      <c r="K131" s="161"/>
      <c r="L131" s="161"/>
      <c r="M131" s="161"/>
      <c r="N131" s="161"/>
      <c r="O131" s="161"/>
      <c r="P131" s="161"/>
    </row>
    <row r="132" spans="1:16" x14ac:dyDescent="0.35">
      <c r="A132" s="161"/>
      <c r="B132" s="161"/>
      <c r="C132" s="161"/>
      <c r="D132" s="161"/>
      <c r="E132" s="161"/>
      <c r="F132" s="161"/>
      <c r="G132" s="161"/>
      <c r="H132" s="161"/>
      <c r="I132" s="161"/>
      <c r="J132" s="161"/>
      <c r="K132" s="161"/>
      <c r="L132" s="161"/>
      <c r="M132" s="161"/>
      <c r="N132" s="161"/>
      <c r="O132" s="161"/>
      <c r="P132" s="161"/>
    </row>
    <row r="133" spans="1:16" x14ac:dyDescent="0.35">
      <c r="A133" s="161"/>
      <c r="B133" s="161"/>
      <c r="C133" s="161"/>
      <c r="D133" s="161"/>
      <c r="E133" s="161"/>
      <c r="F133" s="161"/>
      <c r="G133" s="161"/>
      <c r="H133" s="161"/>
      <c r="I133" s="161"/>
      <c r="J133" s="161"/>
      <c r="K133" s="161"/>
      <c r="L133" s="161"/>
      <c r="M133" s="161"/>
      <c r="N133" s="161"/>
      <c r="O133" s="161"/>
      <c r="P133" s="161"/>
    </row>
    <row r="134" spans="1:16" x14ac:dyDescent="0.35">
      <c r="A134" s="162" t="s">
        <v>60</v>
      </c>
      <c r="B134" s="162"/>
      <c r="C134" s="162"/>
      <c r="D134" s="162"/>
      <c r="E134" s="162"/>
      <c r="F134" s="162"/>
      <c r="G134" s="162"/>
      <c r="H134" s="162"/>
      <c r="I134" s="162"/>
      <c r="J134" s="162"/>
      <c r="K134" s="162"/>
      <c r="L134" s="162"/>
      <c r="M134" s="162"/>
      <c r="N134" s="162"/>
      <c r="O134" s="162"/>
      <c r="P134" s="162"/>
    </row>
    <row r="135" spans="1:16" x14ac:dyDescent="0.35">
      <c r="A135" s="162"/>
      <c r="B135" s="162"/>
      <c r="C135" s="162"/>
      <c r="D135" s="162"/>
      <c r="E135" s="162"/>
      <c r="F135" s="162"/>
      <c r="G135" s="162"/>
      <c r="H135" s="162"/>
      <c r="I135" s="162"/>
      <c r="J135" s="162"/>
      <c r="K135" s="162"/>
      <c r="L135" s="162"/>
      <c r="M135" s="162"/>
      <c r="N135" s="162"/>
      <c r="O135" s="162"/>
      <c r="P135" s="162"/>
    </row>
    <row r="136" spans="1:16" x14ac:dyDescent="0.35">
      <c r="A136" s="162"/>
      <c r="B136" s="162"/>
      <c r="C136" s="162"/>
      <c r="D136" s="162"/>
      <c r="E136" s="162"/>
      <c r="F136" s="162"/>
      <c r="G136" s="162"/>
      <c r="H136" s="162"/>
      <c r="I136" s="162"/>
      <c r="J136" s="162"/>
      <c r="K136" s="162"/>
      <c r="L136" s="162"/>
      <c r="M136" s="162"/>
      <c r="N136" s="162"/>
      <c r="O136" s="162"/>
      <c r="P136" s="162"/>
    </row>
    <row r="137" spans="1:16" ht="29.5" customHeight="1" x14ac:dyDescent="0.35">
      <c r="A137" s="162"/>
      <c r="B137" s="162"/>
      <c r="C137" s="162"/>
      <c r="D137" s="162"/>
      <c r="E137" s="162"/>
      <c r="F137" s="162"/>
      <c r="G137" s="162"/>
      <c r="H137" s="162"/>
      <c r="I137" s="162"/>
      <c r="J137" s="162"/>
      <c r="K137" s="162"/>
      <c r="L137" s="162"/>
      <c r="M137" s="162"/>
      <c r="N137" s="162"/>
      <c r="O137" s="162"/>
      <c r="P137" s="162"/>
    </row>
    <row r="138" spans="1:16" x14ac:dyDescent="0.35">
      <c r="A138" s="163" t="s">
        <v>61</v>
      </c>
      <c r="B138" s="163"/>
      <c r="C138" s="163"/>
      <c r="D138" s="163"/>
      <c r="E138" s="163"/>
      <c r="F138" s="163"/>
      <c r="G138" s="163"/>
      <c r="H138" s="163"/>
      <c r="I138" s="163"/>
      <c r="J138" s="163"/>
      <c r="K138" s="163"/>
      <c r="L138" s="163"/>
      <c r="M138" s="163"/>
      <c r="N138" s="163"/>
      <c r="O138" s="163"/>
      <c r="P138" s="163"/>
    </row>
    <row r="139" spans="1:16" ht="24.5" customHeight="1" x14ac:dyDescent="0.4">
      <c r="A139" s="151"/>
      <c r="B139" s="151"/>
      <c r="C139" s="151"/>
      <c r="D139" s="151"/>
      <c r="E139" s="151"/>
      <c r="F139" s="151"/>
      <c r="I139" s="151"/>
      <c r="J139" s="151"/>
      <c r="K139" s="151"/>
      <c r="L139" s="151"/>
      <c r="M139" s="151"/>
      <c r="N139" s="151"/>
      <c r="O139" s="151"/>
    </row>
    <row r="140" spans="1:16" x14ac:dyDescent="0.35">
      <c r="A140" s="154" t="s">
        <v>62</v>
      </c>
      <c r="B140" s="154"/>
      <c r="C140" s="154"/>
      <c r="D140" s="154"/>
      <c r="E140" s="154"/>
      <c r="F140" s="154"/>
      <c r="G140" s="47"/>
      <c r="H140" s="47"/>
      <c r="I140" s="154" t="s">
        <v>63</v>
      </c>
      <c r="J140" s="154"/>
      <c r="K140" s="154"/>
      <c r="L140" s="154"/>
      <c r="M140" s="154"/>
      <c r="N140" s="154"/>
      <c r="O140" s="154"/>
    </row>
    <row r="141" spans="1:16" ht="24.5" customHeight="1" x14ac:dyDescent="0.4">
      <c r="A141" s="151"/>
      <c r="B141" s="151"/>
      <c r="C141" s="151"/>
      <c r="D141" s="151"/>
      <c r="E141" s="151"/>
      <c r="F141" s="151"/>
      <c r="G141" s="152"/>
      <c r="H141" s="152"/>
      <c r="I141" s="151"/>
      <c r="J141" s="151"/>
      <c r="K141" s="151"/>
      <c r="L141" s="151"/>
      <c r="M141" s="151"/>
      <c r="N141" s="151"/>
      <c r="O141" s="151"/>
      <c r="P141" s="60"/>
    </row>
    <row r="142" spans="1:16" x14ac:dyDescent="0.35">
      <c r="A142" s="149" t="s">
        <v>64</v>
      </c>
      <c r="B142" s="149"/>
      <c r="C142" s="149"/>
      <c r="D142" s="149"/>
      <c r="E142" s="149"/>
      <c r="F142" s="149"/>
      <c r="G142" s="47"/>
      <c r="H142" s="47"/>
      <c r="I142" s="149" t="s">
        <v>65</v>
      </c>
      <c r="J142" s="149"/>
      <c r="K142" s="149"/>
      <c r="L142" s="149"/>
      <c r="M142" s="149"/>
      <c r="N142" s="149"/>
      <c r="O142" s="149"/>
    </row>
    <row r="143" spans="1:16" ht="24.5" customHeight="1" x14ac:dyDescent="0.4">
      <c r="A143" s="151"/>
      <c r="B143" s="151"/>
      <c r="C143" s="151"/>
      <c r="D143" s="151"/>
      <c r="E143" s="151"/>
      <c r="F143" s="151"/>
      <c r="G143" s="152"/>
      <c r="H143" s="152"/>
      <c r="I143" s="151"/>
      <c r="J143" s="151"/>
      <c r="K143" s="151"/>
      <c r="L143" s="151"/>
      <c r="M143" s="151"/>
      <c r="N143" s="151"/>
      <c r="O143" s="151"/>
      <c r="P143" s="60"/>
    </row>
    <row r="144" spans="1:16" x14ac:dyDescent="0.35">
      <c r="A144" s="149" t="s">
        <v>66</v>
      </c>
      <c r="B144" s="149"/>
      <c r="C144" s="149"/>
      <c r="D144" s="149"/>
      <c r="E144" s="149"/>
      <c r="F144" s="149"/>
      <c r="G144" s="47"/>
      <c r="H144" s="47"/>
      <c r="I144" s="149" t="s">
        <v>67</v>
      </c>
      <c r="J144" s="149"/>
      <c r="K144" s="149"/>
      <c r="L144" s="149"/>
      <c r="M144" s="149"/>
      <c r="N144" s="149"/>
      <c r="O144" s="149"/>
    </row>
    <row r="145" spans="1:16" ht="24.5" customHeight="1" x14ac:dyDescent="0.4">
      <c r="A145" s="151"/>
      <c r="B145" s="151"/>
      <c r="C145" s="151"/>
      <c r="D145" s="151"/>
      <c r="E145" s="151"/>
      <c r="F145" s="151"/>
      <c r="G145" s="152"/>
      <c r="H145" s="152"/>
      <c r="I145" s="151"/>
      <c r="J145" s="151"/>
      <c r="K145" s="151"/>
      <c r="L145" s="151"/>
      <c r="M145" s="151"/>
      <c r="N145" s="151"/>
      <c r="O145" s="151"/>
      <c r="P145" s="60"/>
    </row>
    <row r="146" spans="1:16" x14ac:dyDescent="0.35">
      <c r="A146" s="149" t="s">
        <v>68</v>
      </c>
      <c r="B146" s="149"/>
      <c r="C146" s="149"/>
      <c r="D146" s="149"/>
      <c r="E146" s="149"/>
      <c r="F146" s="149"/>
      <c r="G146" s="47"/>
      <c r="H146" s="47"/>
      <c r="I146" s="149" t="s">
        <v>69</v>
      </c>
      <c r="J146" s="149"/>
      <c r="K146" s="149"/>
      <c r="L146" s="149"/>
      <c r="M146" s="149"/>
      <c r="N146" s="149"/>
      <c r="O146" s="149"/>
    </row>
    <row r="147" spans="1:16" ht="24.5" customHeight="1" x14ac:dyDescent="0.35">
      <c r="A147" s="153"/>
      <c r="B147" s="153"/>
      <c r="C147" s="153"/>
      <c r="D147" s="153"/>
      <c r="E147" s="153"/>
      <c r="F147" s="153"/>
      <c r="I147" s="153"/>
      <c r="J147" s="153"/>
      <c r="K147" s="153"/>
      <c r="L147" s="153"/>
      <c r="M147" s="153"/>
      <c r="N147" s="153"/>
      <c r="O147" s="153"/>
    </row>
    <row r="148" spans="1:16" x14ac:dyDescent="0.35">
      <c r="A148" s="149" t="s">
        <v>917</v>
      </c>
      <c r="B148" s="149"/>
      <c r="C148" s="149"/>
      <c r="D148" s="149"/>
      <c r="E148" s="149"/>
      <c r="F148" s="149"/>
      <c r="I148" s="149" t="s">
        <v>919</v>
      </c>
      <c r="J148" s="149"/>
      <c r="K148" s="149"/>
      <c r="L148" s="149"/>
      <c r="M148" s="149"/>
      <c r="N148" s="149"/>
      <c r="O148" s="149"/>
    </row>
    <row r="149" spans="1:16" ht="24.5" customHeight="1" x14ac:dyDescent="0.35">
      <c r="A149" s="153"/>
      <c r="B149" s="153"/>
      <c r="C149" s="153"/>
      <c r="D149" s="153"/>
      <c r="E149" s="153"/>
      <c r="F149" s="153"/>
      <c r="I149" s="153"/>
      <c r="J149" s="153"/>
      <c r="K149" s="153"/>
      <c r="L149" s="153"/>
      <c r="M149" s="153"/>
      <c r="N149" s="153"/>
      <c r="O149" s="153"/>
    </row>
    <row r="150" spans="1:16" x14ac:dyDescent="0.35">
      <c r="A150" s="149" t="s">
        <v>918</v>
      </c>
      <c r="B150" s="149"/>
      <c r="C150" s="149"/>
      <c r="D150" s="149"/>
      <c r="E150" s="149"/>
      <c r="F150" s="149"/>
      <c r="I150" s="149" t="s">
        <v>920</v>
      </c>
      <c r="J150" s="149"/>
      <c r="K150" s="149"/>
      <c r="L150" s="149"/>
      <c r="M150" s="149"/>
      <c r="N150" s="149"/>
      <c r="O150" s="149"/>
    </row>
    <row r="151" spans="1:16" x14ac:dyDescent="0.35">
      <c r="A151" s="150"/>
      <c r="B151" s="150"/>
      <c r="C151" s="150"/>
      <c r="D151" s="150"/>
      <c r="E151" s="150"/>
      <c r="F151" s="150"/>
      <c r="I151" s="150"/>
      <c r="J151" s="150"/>
      <c r="K151" s="150"/>
      <c r="L151" s="150"/>
      <c r="M151" s="150"/>
      <c r="N151" s="150"/>
      <c r="O151" s="150"/>
    </row>
  </sheetData>
  <sheetProtection algorithmName="SHA-512" hashValue="38YIcAdXFJzTmUWJ8FUD/ZRKgrymdofe3u/KRKBADCV11wdSEXkxIcVjE2eZ2+BOCmtSe/srJzCPzXX1msdZSg==" saltValue="ajdBVsv3X3x08lgb3fjMJQ==" spinCount="100000" sheet="1"/>
  <mergeCells count="206">
    <mergeCell ref="A3:E3"/>
    <mergeCell ref="F3:J3"/>
    <mergeCell ref="K3:P3"/>
    <mergeCell ref="A4:E4"/>
    <mergeCell ref="F4:J4"/>
    <mergeCell ref="K4:P4"/>
    <mergeCell ref="A1:D1"/>
    <mergeCell ref="E1:K1"/>
    <mergeCell ref="L1:P1"/>
    <mergeCell ref="A2:D2"/>
    <mergeCell ref="E2:K2"/>
    <mergeCell ref="L2:P2"/>
    <mergeCell ref="A10:P10"/>
    <mergeCell ref="A11:I11"/>
    <mergeCell ref="B13:I13"/>
    <mergeCell ref="B14:I14"/>
    <mergeCell ref="B15:I15"/>
    <mergeCell ref="B16:I16"/>
    <mergeCell ref="A5:P5"/>
    <mergeCell ref="A6:B6"/>
    <mergeCell ref="A7:B7"/>
    <mergeCell ref="O8:P8"/>
    <mergeCell ref="B12:I12"/>
    <mergeCell ref="A9:B9"/>
    <mergeCell ref="C9:D9"/>
    <mergeCell ref="J9:K9"/>
    <mergeCell ref="O9:P9"/>
    <mergeCell ref="F9:H9"/>
    <mergeCell ref="B17:I17"/>
    <mergeCell ref="B18:I18"/>
    <mergeCell ref="B19:I19"/>
    <mergeCell ref="A20:A32"/>
    <mergeCell ref="B20:P20"/>
    <mergeCell ref="C21:I21"/>
    <mergeCell ref="C22:I22"/>
    <mergeCell ref="C23:I23"/>
    <mergeCell ref="C24:I24"/>
    <mergeCell ref="C25:I25"/>
    <mergeCell ref="C32:I32"/>
    <mergeCell ref="A33:P33"/>
    <mergeCell ref="A35:P35"/>
    <mergeCell ref="A36:P36"/>
    <mergeCell ref="A37:P37"/>
    <mergeCell ref="C26:I26"/>
    <mergeCell ref="B27:P27"/>
    <mergeCell ref="C28:I28"/>
    <mergeCell ref="C29:I29"/>
    <mergeCell ref="C30:I30"/>
    <mergeCell ref="C31:I31"/>
    <mergeCell ref="A42:P42"/>
    <mergeCell ref="A43:G43"/>
    <mergeCell ref="A44:K44"/>
    <mergeCell ref="A45:G45"/>
    <mergeCell ref="A46:J46"/>
    <mergeCell ref="A47:K47"/>
    <mergeCell ref="A38:I38"/>
    <mergeCell ref="O38:P38"/>
    <mergeCell ref="A39:A40"/>
    <mergeCell ref="B39:I40"/>
    <mergeCell ref="O39:P40"/>
    <mergeCell ref="B41:I41"/>
    <mergeCell ref="B55:I55"/>
    <mergeCell ref="B56:I56"/>
    <mergeCell ref="A57:P57"/>
    <mergeCell ref="B48:I48"/>
    <mergeCell ref="B49:I49"/>
    <mergeCell ref="B50:I50"/>
    <mergeCell ref="B52:I52"/>
    <mergeCell ref="B53:I53"/>
    <mergeCell ref="B54:I54"/>
    <mergeCell ref="B51:I51"/>
    <mergeCell ref="D71:I71"/>
    <mergeCell ref="K71:P71"/>
    <mergeCell ref="A72:C72"/>
    <mergeCell ref="D72:I72"/>
    <mergeCell ref="K72:P72"/>
    <mergeCell ref="A73:C73"/>
    <mergeCell ref="D73:I73"/>
    <mergeCell ref="K73:P73"/>
    <mergeCell ref="B58:I58"/>
    <mergeCell ref="A59:I59"/>
    <mergeCell ref="B60:I60"/>
    <mergeCell ref="A62:P63"/>
    <mergeCell ref="A65:P67"/>
    <mergeCell ref="A69:E69"/>
    <mergeCell ref="F69:J69"/>
    <mergeCell ref="A78:C78"/>
    <mergeCell ref="D78:I78"/>
    <mergeCell ref="K78:P78"/>
    <mergeCell ref="A79:C79"/>
    <mergeCell ref="D79:I79"/>
    <mergeCell ref="K79:P79"/>
    <mergeCell ref="A74:C74"/>
    <mergeCell ref="D74:I74"/>
    <mergeCell ref="K74:P74"/>
    <mergeCell ref="A75:C75"/>
    <mergeCell ref="D75:I75"/>
    <mergeCell ref="K75:P75"/>
    <mergeCell ref="A76:C76"/>
    <mergeCell ref="A77:C77"/>
    <mergeCell ref="D76:I76"/>
    <mergeCell ref="D77:I77"/>
    <mergeCell ref="K76:P76"/>
    <mergeCell ref="K77:P77"/>
    <mergeCell ref="A84:P84"/>
    <mergeCell ref="A86:P86"/>
    <mergeCell ref="A88:P92"/>
    <mergeCell ref="A94:P95"/>
    <mergeCell ref="A97:B97"/>
    <mergeCell ref="C97:F97"/>
    <mergeCell ref="A80:C80"/>
    <mergeCell ref="D80:I80"/>
    <mergeCell ref="K80:P80"/>
    <mergeCell ref="A83:C83"/>
    <mergeCell ref="D83:I83"/>
    <mergeCell ref="K83:P83"/>
    <mergeCell ref="A81:C81"/>
    <mergeCell ref="A82:C82"/>
    <mergeCell ref="D81:I81"/>
    <mergeCell ref="D82:I82"/>
    <mergeCell ref="K81:P81"/>
    <mergeCell ref="K82:P82"/>
    <mergeCell ref="A105:B105"/>
    <mergeCell ref="C105:H105"/>
    <mergeCell ref="K105:P105"/>
    <mergeCell ref="A106:B106"/>
    <mergeCell ref="C106:H106"/>
    <mergeCell ref="K106:P106"/>
    <mergeCell ref="A98:B98"/>
    <mergeCell ref="C98:J98"/>
    <mergeCell ref="A101:P101"/>
    <mergeCell ref="C103:G103"/>
    <mergeCell ref="J103:P103"/>
    <mergeCell ref="A104:B104"/>
    <mergeCell ref="C104:H104"/>
    <mergeCell ref="J104:P104"/>
    <mergeCell ref="C119:H119"/>
    <mergeCell ref="J119:O119"/>
    <mergeCell ref="A120:B120"/>
    <mergeCell ref="C120:H120"/>
    <mergeCell ref="J120:O120"/>
    <mergeCell ref="A110:P111"/>
    <mergeCell ref="A115:P115"/>
    <mergeCell ref="C117:F117"/>
    <mergeCell ref="J117:O117"/>
    <mergeCell ref="A118:B118"/>
    <mergeCell ref="C118:H118"/>
    <mergeCell ref="J118:O118"/>
    <mergeCell ref="A140:F140"/>
    <mergeCell ref="I140:O140"/>
    <mergeCell ref="A141:F141"/>
    <mergeCell ref="G141:H141"/>
    <mergeCell ref="I141:O141"/>
    <mergeCell ref="A142:F142"/>
    <mergeCell ref="I142:O142"/>
    <mergeCell ref="A124:P126"/>
    <mergeCell ref="A128:P130"/>
    <mergeCell ref="A131:P133"/>
    <mergeCell ref="A134:P137"/>
    <mergeCell ref="A138:P138"/>
    <mergeCell ref="A139:F139"/>
    <mergeCell ref="I139:O139"/>
    <mergeCell ref="A146:F146"/>
    <mergeCell ref="I146:O146"/>
    <mergeCell ref="A148:F148"/>
    <mergeCell ref="I148:O148"/>
    <mergeCell ref="A151:F151"/>
    <mergeCell ref="I151:O151"/>
    <mergeCell ref="A143:F143"/>
    <mergeCell ref="G143:H143"/>
    <mergeCell ref="I143:O143"/>
    <mergeCell ref="A144:F144"/>
    <mergeCell ref="I144:O144"/>
    <mergeCell ref="A145:F145"/>
    <mergeCell ref="G145:H145"/>
    <mergeCell ref="I145:O145"/>
    <mergeCell ref="A147:F147"/>
    <mergeCell ref="A149:F149"/>
    <mergeCell ref="A150:F150"/>
    <mergeCell ref="I147:O147"/>
    <mergeCell ref="I149:O149"/>
    <mergeCell ref="I150:O150"/>
    <mergeCell ref="A121:B121"/>
    <mergeCell ref="A122:B122"/>
    <mergeCell ref="C121:H121"/>
    <mergeCell ref="C122:H122"/>
    <mergeCell ref="J121:O121"/>
    <mergeCell ref="J122:O122"/>
    <mergeCell ref="O6:P6"/>
    <mergeCell ref="O7:P7"/>
    <mergeCell ref="A107:B107"/>
    <mergeCell ref="A108:B108"/>
    <mergeCell ref="C107:H107"/>
    <mergeCell ref="C108:H108"/>
    <mergeCell ref="A8:B8"/>
    <mergeCell ref="C8:D8"/>
    <mergeCell ref="F8:H8"/>
    <mergeCell ref="J8:K8"/>
    <mergeCell ref="C6:D6"/>
    <mergeCell ref="C7:D7"/>
    <mergeCell ref="F6:H6"/>
    <mergeCell ref="F7:H7"/>
    <mergeCell ref="J6:K6"/>
    <mergeCell ref="J7:K7"/>
    <mergeCell ref="A34:P34"/>
    <mergeCell ref="A119:B119"/>
  </mergeCells>
  <conditionalFormatting sqref="C7:D8 C9 J13:J19 J21:J26 J28:J32 J39:J41 J48:J56 K56:N56 J58 J60:N60 K30:N32">
    <cfRule type="expression" dxfId="14" priority="16">
      <formula>OR($C$6=0,$C$6="Church Name - Dropdown")</formula>
    </cfRule>
  </conditionalFormatting>
  <conditionalFormatting sqref="F7:H8 F9 K13:K19 K21:K26 K28:K29 K39:K41 K48:K55 K58">
    <cfRule type="expression" dxfId="13" priority="15">
      <formula>OR($F$6=0,$F$6="Church Name - Dropdown")</formula>
    </cfRule>
  </conditionalFormatting>
  <conditionalFormatting sqref="J12:J19 J21:J26 J28:J32 J39:J41 J48:J56 K56:N56 J60:N60 C6 C7:D8 C9 J58 K30:N32">
    <cfRule type="expression" dxfId="12" priority="11">
      <formula>AND($C$6&gt;0,$C$6&lt;&gt;"Church Name - Dropdown")</formula>
    </cfRule>
  </conditionalFormatting>
  <conditionalFormatting sqref="J19 J26 J40:J41 J49:J50 J52:J53 J56:N56 J60:N60 J30:N32">
    <cfRule type="expression" dxfId="11" priority="5">
      <formula>AND($C$6&gt;0,$C$6&lt;&gt;"Church Name - Dropdown")</formula>
    </cfRule>
  </conditionalFormatting>
  <conditionalFormatting sqref="J7:K8 J9 L13:L19 L21:L26 L28:L29 L39:L41 L48:L55 L58">
    <cfRule type="expression" dxfId="10" priority="14">
      <formula>OR($J$6=0,$J$6="Church Name - Dropdown")</formula>
    </cfRule>
  </conditionalFormatting>
  <conditionalFormatting sqref="K12:K19 K21:K26 K28:K29 K39:K41 K48:K55 F6 F7:H8 F9 K58">
    <cfRule type="expression" dxfId="9" priority="10">
      <formula>AND($F$6&gt;0,$F$6&lt;&gt;"Church Name - Dropdown")</formula>
    </cfRule>
  </conditionalFormatting>
  <conditionalFormatting sqref="K19 K26 K40:K41 K49:K50 K52:K53">
    <cfRule type="expression" dxfId="8" priority="4">
      <formula>AND($F$6&gt;0,$F$6&lt;&gt;"Church Name - Dropdown")</formula>
    </cfRule>
  </conditionalFormatting>
  <conditionalFormatting sqref="L12:L19 L21:L26 L28:L29 L39:L41 L48:L55 J6 J7:K8 J9 L58">
    <cfRule type="expression" dxfId="7" priority="9">
      <formula>AND($J$6&gt;0,$J$6&lt;&gt;"Church Name - Dropdown")</formula>
    </cfRule>
  </conditionalFormatting>
  <conditionalFormatting sqref="L19 L26 L40:L41 L49:L50 L52:L53">
    <cfRule type="expression" dxfId="6" priority="3">
      <formula>AND($J$6&gt;0,$J$6&lt;&gt;"Church Name - Dropdown")</formula>
    </cfRule>
  </conditionalFormatting>
  <conditionalFormatting sqref="M7:M9 M13:M19 M21:M26 M28:M29 M39:M41 M48:M55 M58">
    <cfRule type="expression" dxfId="5" priority="13">
      <formula>OR($M$6=0,$M$6="Church Name - Dropdown")</formula>
    </cfRule>
  </conditionalFormatting>
  <conditionalFormatting sqref="M12:M19 M21:M26 M28:M29 M39:M41 M48:M55 M6:M9 M58">
    <cfRule type="expression" dxfId="4" priority="8">
      <formula>AND($M$6&gt;0,$M$6&lt;&gt;"Church Name - Dropdown")</formula>
    </cfRule>
  </conditionalFormatting>
  <conditionalFormatting sqref="M19 M26 M40:M41 M49:M50 M52:M53">
    <cfRule type="expression" dxfId="3" priority="2">
      <formula>AND($M$6&gt;0,$M$6&lt;&gt;"Church Name - Dropdown")</formula>
    </cfRule>
  </conditionalFormatting>
  <conditionalFormatting sqref="N12:N19 N21:N26 N28:N29 N39:N41 N48:N55 O6 O7:P8 O9 N58">
    <cfRule type="expression" dxfId="2" priority="7">
      <formula>AND($O$6&gt;0,$O$6&lt;&gt;"Church Name - Dropdown")</formula>
    </cfRule>
  </conditionalFormatting>
  <conditionalFormatting sqref="N19 N26 N40:N41 N49:N50 N52:N53">
    <cfRule type="expression" dxfId="1" priority="1">
      <formula>AND($O$6&gt;0,$O$6&lt;&gt;"Church Name - Dropdown")</formula>
    </cfRule>
  </conditionalFormatting>
  <conditionalFormatting sqref="O7:P8 O9 N13:N19 N21:N26 N28:N29 N39:N41 N48:N55 N58">
    <cfRule type="expression" dxfId="0" priority="12">
      <formula>OR($O$6=0,$O$6="Church Name - Dropdown")</formula>
    </cfRule>
  </conditionalFormatting>
  <dataValidations count="3">
    <dataValidation allowBlank="1" showErrorMessage="1" sqref="B13:I13" xr:uid="{AAE8538F-8FEA-4BC4-AD38-DA7B0BF4BCDD}"/>
    <dataValidation type="decimal" allowBlank="1" showInputMessage="1" showErrorMessage="1" sqref="J13:N18 J21:N25" xr:uid="{38929BB1-B555-4FA8-9B81-962D9906FD6D}">
      <formula1>0</formula1>
      <formula2>999999</formula2>
    </dataValidation>
    <dataValidation type="whole" allowBlank="1" showInputMessage="1" showErrorMessage="1" sqref="J28:N29 J48:N48 J51:N51 J53:N55 J58:N58" xr:uid="{1ECC21F8-60C9-4B56-81CD-142D24F961F0}">
      <formula1>0</formula1>
      <formula2>999999</formula2>
    </dataValidation>
  </dataValidations>
  <hyperlinks>
    <hyperlink ref="A10:P10" r:id="rId1" display="It is highly recommended to review the instructions as a guide when completing this report. Click here to view these instructions." xr:uid="{8A1644FC-3982-4074-B296-9EC78802A6DE}"/>
  </hyperlinks>
  <pageMargins left="0.7" right="0.7" top="0.75" bottom="0.75" header="0.3" footer="0.3"/>
  <pageSetup scale="74" fitToHeight="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9</xdr:col>
                    <xdr:colOff>285750</xdr:colOff>
                    <xdr:row>71</xdr:row>
                    <xdr:rowOff>69850</xdr:rowOff>
                  </from>
                  <to>
                    <xdr:col>9</xdr:col>
                    <xdr:colOff>590550</xdr:colOff>
                    <xdr:row>72</xdr:row>
                    <xdr:rowOff>95250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9</xdr:col>
                    <xdr:colOff>285750</xdr:colOff>
                    <xdr:row>72</xdr:row>
                    <xdr:rowOff>69850</xdr:rowOff>
                  </from>
                  <to>
                    <xdr:col>9</xdr:col>
                    <xdr:colOff>590550</xdr:colOff>
                    <xdr:row>73</xdr:row>
                    <xdr:rowOff>95250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9</xdr:col>
                    <xdr:colOff>285750</xdr:colOff>
                    <xdr:row>73</xdr:row>
                    <xdr:rowOff>69850</xdr:rowOff>
                  </from>
                  <to>
                    <xdr:col>9</xdr:col>
                    <xdr:colOff>590550</xdr:colOff>
                    <xdr:row>74</xdr:row>
                    <xdr:rowOff>95250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9</xdr:col>
                    <xdr:colOff>285750</xdr:colOff>
                    <xdr:row>74</xdr:row>
                    <xdr:rowOff>69850</xdr:rowOff>
                  </from>
                  <to>
                    <xdr:col>9</xdr:col>
                    <xdr:colOff>590550</xdr:colOff>
                    <xdr:row>75</xdr:row>
                    <xdr:rowOff>95250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9</xdr:col>
                    <xdr:colOff>285750</xdr:colOff>
                    <xdr:row>77</xdr:row>
                    <xdr:rowOff>69850</xdr:rowOff>
                  </from>
                  <to>
                    <xdr:col>9</xdr:col>
                    <xdr:colOff>590550</xdr:colOff>
                    <xdr:row>78</xdr:row>
                    <xdr:rowOff>95250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9</xdr:col>
                    <xdr:colOff>285750</xdr:colOff>
                    <xdr:row>78</xdr:row>
                    <xdr:rowOff>69850</xdr:rowOff>
                  </from>
                  <to>
                    <xdr:col>9</xdr:col>
                    <xdr:colOff>590550</xdr:colOff>
                    <xdr:row>79</xdr:row>
                    <xdr:rowOff>95250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9</xdr:col>
                    <xdr:colOff>285750</xdr:colOff>
                    <xdr:row>79</xdr:row>
                    <xdr:rowOff>69850</xdr:rowOff>
                  </from>
                  <to>
                    <xdr:col>9</xdr:col>
                    <xdr:colOff>590550</xdr:colOff>
                    <xdr:row>80</xdr:row>
                    <xdr:rowOff>95250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9</xdr:col>
                    <xdr:colOff>285750</xdr:colOff>
                    <xdr:row>82</xdr:row>
                    <xdr:rowOff>69850</xdr:rowOff>
                  </from>
                  <to>
                    <xdr:col>9</xdr:col>
                    <xdr:colOff>590550</xdr:colOff>
                    <xdr:row>83</xdr:row>
                    <xdr:rowOff>95250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6</xdr:col>
                    <xdr:colOff>57150</xdr:colOff>
                    <xdr:row>140</xdr:row>
                    <xdr:rowOff>76200</xdr:rowOff>
                  </from>
                  <to>
                    <xdr:col>6</xdr:col>
                    <xdr:colOff>374650</xdr:colOff>
                    <xdr:row>141</xdr:row>
                    <xdr:rowOff>25400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6</xdr:col>
                    <xdr:colOff>50800</xdr:colOff>
                    <xdr:row>142</xdr:row>
                    <xdr:rowOff>69850</xdr:rowOff>
                  </from>
                  <to>
                    <xdr:col>6</xdr:col>
                    <xdr:colOff>355600</xdr:colOff>
                    <xdr:row>143</xdr:row>
                    <xdr:rowOff>25400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6</xdr:col>
                    <xdr:colOff>38100</xdr:colOff>
                    <xdr:row>144</xdr:row>
                    <xdr:rowOff>88900</xdr:rowOff>
                  </from>
                  <to>
                    <xdr:col>6</xdr:col>
                    <xdr:colOff>342900</xdr:colOff>
                    <xdr:row>145</xdr:row>
                    <xdr:rowOff>25400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15</xdr:col>
                    <xdr:colOff>88900</xdr:colOff>
                    <xdr:row>138</xdr:row>
                    <xdr:rowOff>95250</xdr:rowOff>
                  </from>
                  <to>
                    <xdr:col>15</xdr:col>
                    <xdr:colOff>393700</xdr:colOff>
                    <xdr:row>138</xdr:row>
                    <xdr:rowOff>298450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15</xdr:col>
                    <xdr:colOff>88900</xdr:colOff>
                    <xdr:row>140</xdr:row>
                    <xdr:rowOff>95250</xdr:rowOff>
                  </from>
                  <to>
                    <xdr:col>15</xdr:col>
                    <xdr:colOff>393700</xdr:colOff>
                    <xdr:row>141</xdr:row>
                    <xdr:rowOff>25400</xdr:rowOff>
                  </to>
                </anchor>
              </controlPr>
            </control>
          </mc:Choice>
        </mc:AlternateContent>
        <mc:AlternateContent xmlns:mc="http://schemas.openxmlformats.org/markup-compatibility/2006">
          <mc:Choice Requires="x14">
            <control shapeId="1038" r:id="rId18" name="Check Box 14">
              <controlPr defaultSize="0" autoFill="0" autoLine="0" autoPict="0">
                <anchor moveWithCells="1">
                  <from>
                    <xdr:col>15</xdr:col>
                    <xdr:colOff>95250</xdr:colOff>
                    <xdr:row>142</xdr:row>
                    <xdr:rowOff>107950</xdr:rowOff>
                  </from>
                  <to>
                    <xdr:col>15</xdr:col>
                    <xdr:colOff>400050</xdr:colOff>
                    <xdr:row>143</xdr:row>
                    <xdr:rowOff>25400</xdr:rowOff>
                  </to>
                </anchor>
              </controlPr>
            </control>
          </mc:Choice>
        </mc:AlternateContent>
        <mc:AlternateContent xmlns:mc="http://schemas.openxmlformats.org/markup-compatibility/2006">
          <mc:Choice Requires="x14">
            <control shapeId="1039" r:id="rId19" name="Check Box 15">
              <controlPr defaultSize="0" autoFill="0" autoLine="0" autoPict="0">
                <anchor moveWithCells="1">
                  <from>
                    <xdr:col>15</xdr:col>
                    <xdr:colOff>95250</xdr:colOff>
                    <xdr:row>144</xdr:row>
                    <xdr:rowOff>114300</xdr:rowOff>
                  </from>
                  <to>
                    <xdr:col>15</xdr:col>
                    <xdr:colOff>400050</xdr:colOff>
                    <xdr:row>145</xdr:row>
                    <xdr:rowOff>25400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9</xdr:col>
                    <xdr:colOff>285750</xdr:colOff>
                    <xdr:row>75</xdr:row>
                    <xdr:rowOff>69850</xdr:rowOff>
                  </from>
                  <to>
                    <xdr:col>9</xdr:col>
                    <xdr:colOff>590550</xdr:colOff>
                    <xdr:row>76</xdr:row>
                    <xdr:rowOff>95250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9</xdr:col>
                    <xdr:colOff>285750</xdr:colOff>
                    <xdr:row>76</xdr:row>
                    <xdr:rowOff>69850</xdr:rowOff>
                  </from>
                  <to>
                    <xdr:col>9</xdr:col>
                    <xdr:colOff>590550</xdr:colOff>
                    <xdr:row>77</xdr:row>
                    <xdr:rowOff>95250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9</xdr:col>
                    <xdr:colOff>285750</xdr:colOff>
                    <xdr:row>80</xdr:row>
                    <xdr:rowOff>69850</xdr:rowOff>
                  </from>
                  <to>
                    <xdr:col>9</xdr:col>
                    <xdr:colOff>590550</xdr:colOff>
                    <xdr:row>81</xdr:row>
                    <xdr:rowOff>95250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9</xdr:col>
                    <xdr:colOff>285750</xdr:colOff>
                    <xdr:row>81</xdr:row>
                    <xdr:rowOff>69850</xdr:rowOff>
                  </from>
                  <to>
                    <xdr:col>9</xdr:col>
                    <xdr:colOff>590550</xdr:colOff>
                    <xdr:row>82</xdr:row>
                    <xdr:rowOff>95250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6</xdr:col>
                    <xdr:colOff>38100</xdr:colOff>
                    <xdr:row>146</xdr:row>
                    <xdr:rowOff>88900</xdr:rowOff>
                  </from>
                  <to>
                    <xdr:col>6</xdr:col>
                    <xdr:colOff>342900</xdr:colOff>
                    <xdr:row>147</xdr:row>
                    <xdr:rowOff>25400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6</xdr:col>
                    <xdr:colOff>38100</xdr:colOff>
                    <xdr:row>148</xdr:row>
                    <xdr:rowOff>88900</xdr:rowOff>
                  </from>
                  <to>
                    <xdr:col>6</xdr:col>
                    <xdr:colOff>342900</xdr:colOff>
                    <xdr:row>149</xdr:row>
                    <xdr:rowOff>25400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15</xdr:col>
                    <xdr:colOff>95250</xdr:colOff>
                    <xdr:row>146</xdr:row>
                    <xdr:rowOff>114300</xdr:rowOff>
                  </from>
                  <to>
                    <xdr:col>15</xdr:col>
                    <xdr:colOff>400050</xdr:colOff>
                    <xdr:row>147</xdr:row>
                    <xdr:rowOff>25400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15</xdr:col>
                    <xdr:colOff>95250</xdr:colOff>
                    <xdr:row>148</xdr:row>
                    <xdr:rowOff>114300</xdr:rowOff>
                  </from>
                  <to>
                    <xdr:col>15</xdr:col>
                    <xdr:colOff>400050</xdr:colOff>
                    <xdr:row>149</xdr:row>
                    <xdr:rowOff>25400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F98369C8-7439-4995-9BFC-A5E68FEFFE8D}">
          <x14:formula1>
            <xm:f>'Staff Info'!$D$1:$D$5</xm:f>
          </x14:formula1>
          <xm:sqref>L2:P2</xm:sqref>
        </x14:dataValidation>
        <x14:dataValidation type="list" allowBlank="1" showInputMessage="1" showErrorMessage="1" xr:uid="{652CA4B0-C330-4728-AE9A-77E8EB2C5452}">
          <x14:formula1>
            <xm:f>'Staff Info'!$G$1:$G$5</xm:f>
          </x14:formula1>
          <xm:sqref>F4:J4 C9:D9 O9:P9 J9:K9 M9 F9</xm:sqref>
        </x14:dataValidation>
        <x14:dataValidation type="list" allowBlank="1" showInputMessage="1" showErrorMessage="1" xr:uid="{9F646C1C-CAED-415C-BDBE-0A221708B0BC}">
          <x14:formula1>
            <xm:f>'Staff Info'!$A$1:$A$26</xm:f>
          </x14:formula1>
          <xm:sqref>K4:P4</xm:sqref>
        </x14:dataValidation>
        <x14:dataValidation type="list" allowBlank="1" showInputMessage="1" showErrorMessage="1" xr:uid="{95970D31-0BF4-4C1F-953B-214AD027FC97}">
          <x14:formula1>
            <xm:f>'Staff Info'!$I$1:$I$4</xm:f>
          </x14:formula1>
          <xm:sqref>J12:N12</xm:sqref>
        </x14:dataValidation>
        <x14:dataValidation type="list" allowBlank="1" showInputMessage="1" showErrorMessage="1" xr:uid="{B68891BC-0537-479C-A212-B1737305A72B}">
          <x14:formula1>
            <xm:f>'Staff Info'!$K$1:$K$383</xm:f>
          </x14:formula1>
          <xm:sqref>O6:P6 M6 C6:D6 F6:H6 J6:K6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0FE5C-3BBA-4E1E-9993-D4CB26B0A02C}">
  <dimension ref="A1:I27"/>
  <sheetViews>
    <sheetView workbookViewId="0">
      <selection activeCell="C4" sqref="C4"/>
    </sheetView>
  </sheetViews>
  <sheetFormatPr defaultRowHeight="14.5" x14ac:dyDescent="0.35"/>
  <cols>
    <col min="1" max="1" width="21" customWidth="1"/>
    <col min="2" max="2" width="19.6328125" customWidth="1"/>
    <col min="3" max="3" width="17.6328125" customWidth="1"/>
    <col min="4" max="4" width="14.453125" customWidth="1"/>
    <col min="5" max="5" width="15.54296875" customWidth="1"/>
    <col min="6" max="6" width="15.26953125" customWidth="1"/>
    <col min="7" max="7" width="14.7265625" customWidth="1"/>
    <col min="8" max="8" width="12.453125" customWidth="1"/>
    <col min="9" max="9" width="28.453125" customWidth="1"/>
  </cols>
  <sheetData>
    <row r="1" spans="1:9" x14ac:dyDescent="0.35">
      <c r="A1" s="316" t="s">
        <v>926</v>
      </c>
      <c r="B1" s="317"/>
      <c r="C1" s="317"/>
      <c r="D1" s="317"/>
      <c r="E1" s="317"/>
      <c r="F1" s="317"/>
      <c r="G1" s="317"/>
      <c r="H1" s="317"/>
      <c r="I1" s="317"/>
    </row>
    <row r="2" spans="1:9" ht="15" thickBot="1" x14ac:dyDescent="0.4">
      <c r="A2" s="318" t="s">
        <v>956</v>
      </c>
      <c r="B2" s="318"/>
      <c r="C2" s="318"/>
      <c r="D2" s="318"/>
      <c r="E2" s="318"/>
      <c r="F2" s="318"/>
      <c r="G2" s="318"/>
      <c r="H2" s="318"/>
      <c r="I2" s="318"/>
    </row>
    <row r="3" spans="1:9" ht="56.5" x14ac:dyDescent="0.35">
      <c r="A3" s="79" t="s">
        <v>927</v>
      </c>
      <c r="B3" s="80" t="s">
        <v>928</v>
      </c>
      <c r="C3" s="79" t="s">
        <v>985</v>
      </c>
      <c r="D3" s="79" t="s">
        <v>929</v>
      </c>
      <c r="E3" s="79" t="s">
        <v>930</v>
      </c>
      <c r="F3" s="81" t="s">
        <v>931</v>
      </c>
      <c r="G3" s="81" t="s">
        <v>932</v>
      </c>
      <c r="H3" s="81" t="s">
        <v>933</v>
      </c>
      <c r="I3" s="82"/>
    </row>
    <row r="4" spans="1:9" x14ac:dyDescent="0.35">
      <c r="A4" s="83"/>
      <c r="B4" s="84">
        <v>48992</v>
      </c>
      <c r="C4" s="84">
        <v>46436</v>
      </c>
      <c r="D4" s="84">
        <v>45462</v>
      </c>
      <c r="E4" s="84">
        <v>43033</v>
      </c>
      <c r="F4" s="84">
        <f>E4*0.75</f>
        <v>32274.75</v>
      </c>
      <c r="G4" s="84">
        <f>E4*0.5</f>
        <v>21516.5</v>
      </c>
      <c r="H4" s="84">
        <f>E4*0.25</f>
        <v>10758.25</v>
      </c>
      <c r="I4" s="84"/>
    </row>
    <row r="5" spans="1:9" ht="14.5" customHeight="1" x14ac:dyDescent="0.35">
      <c r="A5" s="83">
        <v>1</v>
      </c>
      <c r="B5" s="85">
        <f>B4+ (B4*0.01)</f>
        <v>49481.919999999998</v>
      </c>
      <c r="C5" s="86">
        <f t="shared" ref="C5:H5" si="0">C4+ (C4*0.01*1)</f>
        <v>46900.36</v>
      </c>
      <c r="D5" s="84">
        <f t="shared" si="0"/>
        <v>45916.62</v>
      </c>
      <c r="E5" s="84">
        <f t="shared" si="0"/>
        <v>43463.33</v>
      </c>
      <c r="F5" s="84">
        <f t="shared" si="0"/>
        <v>32597.497500000001</v>
      </c>
      <c r="G5" s="84">
        <f t="shared" si="0"/>
        <v>21731.665000000001</v>
      </c>
      <c r="H5" s="84">
        <f t="shared" si="0"/>
        <v>10865.8325</v>
      </c>
      <c r="I5" s="319" t="s">
        <v>934</v>
      </c>
    </row>
    <row r="6" spans="1:9" x14ac:dyDescent="0.35">
      <c r="A6" s="83">
        <v>2</v>
      </c>
      <c r="B6" s="85">
        <f t="shared" ref="B6:H6" si="1">B4+ (B4*0.01*2)</f>
        <v>49971.839999999997</v>
      </c>
      <c r="C6" s="84">
        <f t="shared" si="1"/>
        <v>47364.72</v>
      </c>
      <c r="D6" s="84">
        <f t="shared" si="1"/>
        <v>46371.24</v>
      </c>
      <c r="E6" s="84">
        <f t="shared" si="1"/>
        <v>43893.66</v>
      </c>
      <c r="F6" s="84">
        <f t="shared" si="1"/>
        <v>32920.245000000003</v>
      </c>
      <c r="G6" s="84">
        <f t="shared" si="1"/>
        <v>21946.83</v>
      </c>
      <c r="H6" s="84">
        <f t="shared" si="1"/>
        <v>10973.415000000001</v>
      </c>
      <c r="I6" s="322"/>
    </row>
    <row r="7" spans="1:9" x14ac:dyDescent="0.35">
      <c r="A7" s="83">
        <v>3</v>
      </c>
      <c r="B7" s="85">
        <f t="shared" ref="B7:H7" si="2">B4+ (B4*0.01*3)</f>
        <v>50461.760000000002</v>
      </c>
      <c r="C7" s="84">
        <f t="shared" si="2"/>
        <v>47829.08</v>
      </c>
      <c r="D7" s="84">
        <f t="shared" si="2"/>
        <v>46825.86</v>
      </c>
      <c r="E7" s="84">
        <f t="shared" si="2"/>
        <v>44323.99</v>
      </c>
      <c r="F7" s="84">
        <f t="shared" si="2"/>
        <v>33242.9925</v>
      </c>
      <c r="G7" s="84">
        <f t="shared" si="2"/>
        <v>22161.994999999999</v>
      </c>
      <c r="H7" s="84">
        <f t="shared" si="2"/>
        <v>11080.997499999999</v>
      </c>
      <c r="I7" s="323"/>
    </row>
    <row r="8" spans="1:9" x14ac:dyDescent="0.35">
      <c r="A8" s="83">
        <v>4</v>
      </c>
      <c r="B8" s="85">
        <f t="shared" ref="B8:H8" si="3">B4+ (B4*0.01*4)</f>
        <v>50951.68</v>
      </c>
      <c r="C8" s="84">
        <f t="shared" si="3"/>
        <v>48293.440000000002</v>
      </c>
      <c r="D8" s="84">
        <f t="shared" si="3"/>
        <v>47280.480000000003</v>
      </c>
      <c r="E8" s="84">
        <f t="shared" si="3"/>
        <v>44754.32</v>
      </c>
      <c r="F8" s="84">
        <f t="shared" si="3"/>
        <v>33565.74</v>
      </c>
      <c r="G8" s="84">
        <f t="shared" si="3"/>
        <v>22377.16</v>
      </c>
      <c r="H8" s="84">
        <f t="shared" si="3"/>
        <v>11188.58</v>
      </c>
      <c r="I8" s="2"/>
    </row>
    <row r="9" spans="1:9" x14ac:dyDescent="0.35">
      <c r="A9" s="83">
        <v>5</v>
      </c>
      <c r="B9" s="84">
        <f t="shared" ref="B9:H9" si="4">B4+ (B4*0.01*5)</f>
        <v>51441.599999999999</v>
      </c>
      <c r="C9" s="84">
        <f t="shared" si="4"/>
        <v>48757.8</v>
      </c>
      <c r="D9" s="84">
        <f t="shared" si="4"/>
        <v>47735.1</v>
      </c>
      <c r="E9" s="84">
        <f t="shared" si="4"/>
        <v>45184.65</v>
      </c>
      <c r="F9" s="84">
        <f t="shared" si="4"/>
        <v>33888.487500000003</v>
      </c>
      <c r="G9" s="84">
        <f t="shared" si="4"/>
        <v>22592.325000000001</v>
      </c>
      <c r="H9" s="84">
        <f t="shared" si="4"/>
        <v>11296.1625</v>
      </c>
      <c r="I9" s="319" t="s">
        <v>935</v>
      </c>
    </row>
    <row r="10" spans="1:9" x14ac:dyDescent="0.35">
      <c r="A10" s="83">
        <v>6</v>
      </c>
      <c r="B10" s="84">
        <f t="shared" ref="B10:H10" si="5">B4+ (B4*0.01*6)</f>
        <v>51931.519999999997</v>
      </c>
      <c r="C10" s="84">
        <f t="shared" si="5"/>
        <v>49222.16</v>
      </c>
      <c r="D10" s="84">
        <f t="shared" si="5"/>
        <v>48189.72</v>
      </c>
      <c r="E10" s="84">
        <f t="shared" si="5"/>
        <v>45614.98</v>
      </c>
      <c r="F10" s="84">
        <f t="shared" si="5"/>
        <v>34211.235000000001</v>
      </c>
      <c r="G10" s="84">
        <f t="shared" si="5"/>
        <v>22807.49</v>
      </c>
      <c r="H10" s="84">
        <f t="shared" si="5"/>
        <v>11403.745000000001</v>
      </c>
      <c r="I10" s="320"/>
    </row>
    <row r="11" spans="1:9" x14ac:dyDescent="0.35">
      <c r="A11" s="83">
        <v>7</v>
      </c>
      <c r="B11" s="84">
        <f t="shared" ref="B11:H11" si="6">B4+ (B4*0.01*7)</f>
        <v>52421.440000000002</v>
      </c>
      <c r="C11" s="84">
        <f t="shared" si="6"/>
        <v>49686.52</v>
      </c>
      <c r="D11" s="84">
        <f t="shared" si="6"/>
        <v>48644.34</v>
      </c>
      <c r="E11" s="84">
        <f t="shared" si="6"/>
        <v>46045.31</v>
      </c>
      <c r="F11" s="84">
        <f t="shared" si="6"/>
        <v>34533.982499999998</v>
      </c>
      <c r="G11" s="84">
        <f t="shared" si="6"/>
        <v>23022.654999999999</v>
      </c>
      <c r="H11" s="84">
        <f t="shared" si="6"/>
        <v>11511.327499999999</v>
      </c>
      <c r="I11" s="320"/>
    </row>
    <row r="12" spans="1:9" x14ac:dyDescent="0.35">
      <c r="A12" s="83">
        <v>8</v>
      </c>
      <c r="B12" s="84">
        <f t="shared" ref="B12:H12" si="7">B4+ (B4*0.01*8)</f>
        <v>52911.360000000001</v>
      </c>
      <c r="C12" s="84">
        <f t="shared" si="7"/>
        <v>50150.879999999997</v>
      </c>
      <c r="D12" s="84">
        <f t="shared" si="7"/>
        <v>49098.96</v>
      </c>
      <c r="E12" s="84">
        <f t="shared" si="7"/>
        <v>46475.64</v>
      </c>
      <c r="F12" s="84">
        <f t="shared" si="7"/>
        <v>34856.730000000003</v>
      </c>
      <c r="G12" s="84">
        <f t="shared" si="7"/>
        <v>23237.82</v>
      </c>
      <c r="H12" s="84">
        <f t="shared" si="7"/>
        <v>11618.91</v>
      </c>
      <c r="I12" s="320"/>
    </row>
    <row r="13" spans="1:9" x14ac:dyDescent="0.35">
      <c r="A13" s="83">
        <v>9</v>
      </c>
      <c r="B13" s="84">
        <f t="shared" ref="B13:H13" si="8">B4+ (B4*0.01*9)</f>
        <v>53401.279999999999</v>
      </c>
      <c r="C13" s="84">
        <f t="shared" si="8"/>
        <v>50615.24</v>
      </c>
      <c r="D13" s="84">
        <f t="shared" si="8"/>
        <v>49553.58</v>
      </c>
      <c r="E13" s="84">
        <f t="shared" si="8"/>
        <v>46905.97</v>
      </c>
      <c r="F13" s="84">
        <f t="shared" si="8"/>
        <v>35179.477500000001</v>
      </c>
      <c r="G13" s="84">
        <f t="shared" si="8"/>
        <v>23452.985000000001</v>
      </c>
      <c r="H13" s="84">
        <f t="shared" si="8"/>
        <v>11726.4925</v>
      </c>
      <c r="I13" s="320"/>
    </row>
    <row r="14" spans="1:9" x14ac:dyDescent="0.35">
      <c r="A14" s="83">
        <v>10</v>
      </c>
      <c r="B14" s="84">
        <f t="shared" ref="B14:H14" si="9">B4+ (B4*0.01*10)</f>
        <v>53891.199999999997</v>
      </c>
      <c r="C14" s="84">
        <f t="shared" si="9"/>
        <v>51079.6</v>
      </c>
      <c r="D14" s="84">
        <f t="shared" si="9"/>
        <v>50008.2</v>
      </c>
      <c r="E14" s="84">
        <f t="shared" si="9"/>
        <v>47336.3</v>
      </c>
      <c r="F14" s="84">
        <f t="shared" si="9"/>
        <v>35502.224999999999</v>
      </c>
      <c r="G14" s="84">
        <f t="shared" si="9"/>
        <v>23668.15</v>
      </c>
      <c r="H14" s="84">
        <f t="shared" si="9"/>
        <v>11834.075000000001</v>
      </c>
      <c r="I14" s="320"/>
    </row>
    <row r="15" spans="1:9" x14ac:dyDescent="0.35">
      <c r="A15" s="83">
        <v>11</v>
      </c>
      <c r="B15" s="84">
        <f t="shared" ref="B15:H15" si="10">B4+ (B4*0.01*11)</f>
        <v>54381.120000000003</v>
      </c>
      <c r="C15" s="84">
        <f t="shared" si="10"/>
        <v>51543.96</v>
      </c>
      <c r="D15" s="84">
        <f t="shared" si="10"/>
        <v>50462.82</v>
      </c>
      <c r="E15" s="84">
        <f t="shared" si="10"/>
        <v>47766.63</v>
      </c>
      <c r="F15" s="84">
        <f t="shared" si="10"/>
        <v>35824.972500000003</v>
      </c>
      <c r="G15" s="84">
        <f t="shared" si="10"/>
        <v>23883.314999999999</v>
      </c>
      <c r="H15" s="84">
        <f t="shared" si="10"/>
        <v>11941.657499999999</v>
      </c>
      <c r="I15" s="321"/>
    </row>
    <row r="16" spans="1:9" x14ac:dyDescent="0.35">
      <c r="A16" s="83">
        <v>12</v>
      </c>
      <c r="B16" s="84">
        <f t="shared" ref="B16:H16" si="11">B4+ (B4*0.01*12)</f>
        <v>54871.040000000001</v>
      </c>
      <c r="C16" s="84">
        <f t="shared" si="11"/>
        <v>52008.32</v>
      </c>
      <c r="D16" s="84">
        <f t="shared" si="11"/>
        <v>50917.440000000002</v>
      </c>
      <c r="E16" s="84">
        <f t="shared" si="11"/>
        <v>48196.959999999999</v>
      </c>
      <c r="F16" s="84">
        <f t="shared" si="11"/>
        <v>36147.72</v>
      </c>
      <c r="G16" s="84">
        <f t="shared" si="11"/>
        <v>24098.48</v>
      </c>
      <c r="H16" s="84">
        <f t="shared" si="11"/>
        <v>12049.24</v>
      </c>
      <c r="I16" s="2"/>
    </row>
    <row r="17" spans="1:9" x14ac:dyDescent="0.35">
      <c r="A17" s="83">
        <v>13</v>
      </c>
      <c r="B17" s="84">
        <f t="shared" ref="B17:H17" si="12">B4+ (B4*0.01*13)</f>
        <v>55360.959999999999</v>
      </c>
      <c r="C17" s="84">
        <f t="shared" si="12"/>
        <v>52472.68</v>
      </c>
      <c r="D17" s="84">
        <f t="shared" si="12"/>
        <v>51372.06</v>
      </c>
      <c r="E17" s="84">
        <f t="shared" si="12"/>
        <v>48627.29</v>
      </c>
      <c r="F17" s="84">
        <f t="shared" si="12"/>
        <v>36470.467499999999</v>
      </c>
      <c r="G17" s="84">
        <f t="shared" si="12"/>
        <v>24313.645</v>
      </c>
      <c r="H17" s="84">
        <f t="shared" si="12"/>
        <v>12156.8225</v>
      </c>
      <c r="I17" s="2"/>
    </row>
    <row r="18" spans="1:9" x14ac:dyDescent="0.35">
      <c r="A18" s="83">
        <v>14</v>
      </c>
      <c r="B18" s="84">
        <f t="shared" ref="B18:H18" si="13">B4+ (B4*0.01*14)</f>
        <v>55850.879999999997</v>
      </c>
      <c r="C18" s="84">
        <f t="shared" si="13"/>
        <v>52937.04</v>
      </c>
      <c r="D18" s="84">
        <f t="shared" si="13"/>
        <v>51826.68</v>
      </c>
      <c r="E18" s="84">
        <f t="shared" si="13"/>
        <v>49057.62</v>
      </c>
      <c r="F18" s="84">
        <f t="shared" si="13"/>
        <v>36793.214999999997</v>
      </c>
      <c r="G18" s="84">
        <f t="shared" si="13"/>
        <v>24528.81</v>
      </c>
      <c r="H18" s="84">
        <f t="shared" si="13"/>
        <v>12264.405000000001</v>
      </c>
      <c r="I18" s="2"/>
    </row>
    <row r="19" spans="1:9" x14ac:dyDescent="0.35">
      <c r="A19" s="83">
        <v>15</v>
      </c>
      <c r="B19" s="84">
        <f t="shared" ref="B19:H19" si="14">B4+ (B4*0.01*15)</f>
        <v>56340.800000000003</v>
      </c>
      <c r="C19" s="84">
        <f t="shared" si="14"/>
        <v>53401.4</v>
      </c>
      <c r="D19" s="84">
        <f t="shared" si="14"/>
        <v>52281.3</v>
      </c>
      <c r="E19" s="84">
        <f t="shared" si="14"/>
        <v>49487.95</v>
      </c>
      <c r="F19" s="84">
        <f t="shared" si="14"/>
        <v>37115.962500000001</v>
      </c>
      <c r="G19" s="84">
        <f t="shared" si="14"/>
        <v>24743.974999999999</v>
      </c>
      <c r="H19" s="84">
        <f t="shared" si="14"/>
        <v>12371.987499999999</v>
      </c>
      <c r="I19" s="87"/>
    </row>
    <row r="20" spans="1:9" x14ac:dyDescent="0.35">
      <c r="A20" s="88">
        <v>16</v>
      </c>
      <c r="B20" s="84">
        <f t="shared" ref="B20:H20" si="15">B4+ (B4*0.01*16)</f>
        <v>56830.720000000001</v>
      </c>
      <c r="C20" s="84">
        <f t="shared" si="15"/>
        <v>53865.760000000002</v>
      </c>
      <c r="D20" s="84">
        <f t="shared" si="15"/>
        <v>52735.92</v>
      </c>
      <c r="E20" s="84">
        <f t="shared" si="15"/>
        <v>49918.28</v>
      </c>
      <c r="F20" s="84">
        <f t="shared" si="15"/>
        <v>37438.71</v>
      </c>
      <c r="G20" s="84">
        <f t="shared" si="15"/>
        <v>24959.14</v>
      </c>
      <c r="H20" s="84">
        <f t="shared" si="15"/>
        <v>12479.57</v>
      </c>
      <c r="I20" s="88"/>
    </row>
    <row r="21" spans="1:9" x14ac:dyDescent="0.35">
      <c r="A21" s="2">
        <v>17</v>
      </c>
      <c r="B21" s="84">
        <f t="shared" ref="B21:H21" si="16">B4+ (B4*0.01*17)</f>
        <v>57320.639999999999</v>
      </c>
      <c r="C21" s="84">
        <f t="shared" si="16"/>
        <v>54330.12</v>
      </c>
      <c r="D21" s="84">
        <f t="shared" si="16"/>
        <v>53190.54</v>
      </c>
      <c r="E21" s="84">
        <f t="shared" si="16"/>
        <v>50348.61</v>
      </c>
      <c r="F21" s="84">
        <f t="shared" si="16"/>
        <v>37761.457500000004</v>
      </c>
      <c r="G21" s="84">
        <f t="shared" si="16"/>
        <v>25174.305</v>
      </c>
      <c r="H21" s="84">
        <f t="shared" si="16"/>
        <v>12587.1525</v>
      </c>
      <c r="I21" s="2"/>
    </row>
    <row r="22" spans="1:9" x14ac:dyDescent="0.35">
      <c r="A22" s="89">
        <v>18</v>
      </c>
      <c r="B22" s="84">
        <f t="shared" ref="B22:H22" si="17">B4+ (B4*0.01*18)</f>
        <v>57810.559999999998</v>
      </c>
      <c r="C22" s="84">
        <f t="shared" si="17"/>
        <v>54794.479999999996</v>
      </c>
      <c r="D22" s="84">
        <f t="shared" si="17"/>
        <v>53645.16</v>
      </c>
      <c r="E22" s="84">
        <f t="shared" si="17"/>
        <v>50778.94</v>
      </c>
      <c r="F22" s="84">
        <f t="shared" si="17"/>
        <v>38084.205000000002</v>
      </c>
      <c r="G22" s="84">
        <f t="shared" si="17"/>
        <v>25389.47</v>
      </c>
      <c r="H22" s="84">
        <f t="shared" si="17"/>
        <v>12694.735000000001</v>
      </c>
      <c r="I22" s="89"/>
    </row>
    <row r="23" spans="1:9" x14ac:dyDescent="0.35">
      <c r="A23" s="2">
        <v>19</v>
      </c>
      <c r="B23" s="84">
        <f t="shared" ref="B23:H23" si="18">B4+ (B4*0.01*19)</f>
        <v>58300.479999999996</v>
      </c>
      <c r="C23" s="84">
        <f t="shared" si="18"/>
        <v>55258.84</v>
      </c>
      <c r="D23" s="84">
        <f t="shared" si="18"/>
        <v>54099.78</v>
      </c>
      <c r="E23" s="84">
        <f t="shared" si="18"/>
        <v>51209.27</v>
      </c>
      <c r="F23" s="84">
        <f t="shared" si="18"/>
        <v>38406.952499999999</v>
      </c>
      <c r="G23" s="84">
        <f t="shared" si="18"/>
        <v>25604.634999999998</v>
      </c>
      <c r="H23" s="84">
        <f t="shared" si="18"/>
        <v>12802.317499999999</v>
      </c>
      <c r="I23" s="2"/>
    </row>
    <row r="24" spans="1:9" x14ac:dyDescent="0.35">
      <c r="A24" s="2">
        <v>20</v>
      </c>
      <c r="B24" s="84">
        <f t="shared" ref="B24:H24" si="19">B4+ (B4*0.01*20)</f>
        <v>58790.400000000001</v>
      </c>
      <c r="C24" s="84">
        <f t="shared" si="19"/>
        <v>55723.199999999997</v>
      </c>
      <c r="D24" s="84">
        <f t="shared" si="19"/>
        <v>54554.400000000001</v>
      </c>
      <c r="E24" s="84">
        <f t="shared" si="19"/>
        <v>51639.6</v>
      </c>
      <c r="F24" s="84">
        <f t="shared" si="19"/>
        <v>38729.699999999997</v>
      </c>
      <c r="G24" s="84">
        <f t="shared" si="19"/>
        <v>25819.8</v>
      </c>
      <c r="H24" s="84">
        <f t="shared" si="19"/>
        <v>12909.9</v>
      </c>
      <c r="I24" s="90" t="s">
        <v>936</v>
      </c>
    </row>
    <row r="25" spans="1:9" x14ac:dyDescent="0.35">
      <c r="A25" s="91"/>
      <c r="B25" s="91"/>
      <c r="C25" s="91"/>
      <c r="D25" s="91"/>
      <c r="E25" s="91"/>
      <c r="F25" s="91"/>
      <c r="G25" s="91"/>
      <c r="H25" s="91"/>
      <c r="I25" s="92"/>
    </row>
    <row r="26" spans="1:9" x14ac:dyDescent="0.35">
      <c r="A26" s="91" t="s">
        <v>937</v>
      </c>
      <c r="B26" s="91"/>
      <c r="C26" s="91"/>
      <c r="D26" s="91"/>
      <c r="E26" s="91"/>
      <c r="F26" s="91"/>
      <c r="G26" s="91"/>
      <c r="H26" s="91"/>
      <c r="I26" s="92"/>
    </row>
    <row r="27" spans="1:9" x14ac:dyDescent="0.35">
      <c r="A27" s="91" t="s">
        <v>938</v>
      </c>
      <c r="B27" s="91"/>
      <c r="C27" s="91"/>
      <c r="D27" s="91"/>
      <c r="E27" s="91"/>
      <c r="F27" s="91"/>
      <c r="G27" s="91"/>
      <c r="H27" s="91"/>
      <c r="I27" s="92"/>
    </row>
  </sheetData>
  <sheetProtection algorithmName="SHA-512" hashValue="VrkzO/5s1LpTPQU7SGBADsqLI6pojSaNoO2eGbhxm/hSTv0plytX1YFahnAzltbOGzTfRgF5KgvSj0iGaJwQPw==" saltValue="68Kb/nTaKmmc3OueRwVyeg==" spinCount="100000" sheet="1" objects="1" scenarios="1"/>
  <mergeCells count="4">
    <mergeCell ref="A1:I1"/>
    <mergeCell ref="A2:I2"/>
    <mergeCell ref="I9:I15"/>
    <mergeCell ref="I5:I7"/>
  </mergeCells>
  <hyperlinks>
    <hyperlink ref="I24" location="'Comp Form'!A1" display="Click here-return to Report" xr:uid="{33DBA4D2-F78D-43FB-B46B-A4FA926A273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41D2E-B5CF-48A9-90EE-CA0B9A1E0DA0}">
  <dimension ref="A1:M384"/>
  <sheetViews>
    <sheetView workbookViewId="0">
      <selection activeCell="D238" sqref="D238"/>
    </sheetView>
  </sheetViews>
  <sheetFormatPr defaultRowHeight="14.5" x14ac:dyDescent="0.35"/>
  <cols>
    <col min="11" max="11" width="38.1796875" bestFit="1" customWidth="1"/>
    <col min="13" max="13" width="15.54296875" bestFit="1" customWidth="1"/>
  </cols>
  <sheetData>
    <row r="1" spans="1:13" ht="16" x14ac:dyDescent="0.4">
      <c r="A1" s="61" t="s">
        <v>911</v>
      </c>
      <c r="D1" s="42" t="s">
        <v>911</v>
      </c>
      <c r="E1" s="61"/>
      <c r="F1" s="61"/>
      <c r="G1" s="62" t="s">
        <v>911</v>
      </c>
      <c r="I1" t="s">
        <v>922</v>
      </c>
      <c r="K1" t="s">
        <v>912</v>
      </c>
      <c r="L1" t="s">
        <v>9</v>
      </c>
      <c r="M1" s="70" t="s">
        <v>146</v>
      </c>
    </row>
    <row r="2" spans="1:13" ht="16" x14ac:dyDescent="0.4">
      <c r="A2" s="63" t="s">
        <v>70</v>
      </c>
      <c r="D2" t="s">
        <v>138</v>
      </c>
      <c r="E2" s="61"/>
      <c r="F2" s="61"/>
      <c r="G2" s="62" t="s">
        <v>71</v>
      </c>
      <c r="I2" t="s">
        <v>142</v>
      </c>
      <c r="K2" t="s">
        <v>147</v>
      </c>
      <c r="L2" t="s">
        <v>148</v>
      </c>
      <c r="M2" s="70">
        <v>11550.000000000002</v>
      </c>
    </row>
    <row r="3" spans="1:13" ht="16" x14ac:dyDescent="0.4">
      <c r="A3" s="64" t="s">
        <v>72</v>
      </c>
      <c r="D3" t="s">
        <v>139</v>
      </c>
      <c r="E3" s="61"/>
      <c r="F3" s="61"/>
      <c r="G3" s="65" t="s">
        <v>73</v>
      </c>
      <c r="I3" t="s">
        <v>143</v>
      </c>
      <c r="K3" t="s">
        <v>149</v>
      </c>
      <c r="L3" t="s">
        <v>150</v>
      </c>
      <c r="M3" s="70">
        <v>10890</v>
      </c>
    </row>
    <row r="4" spans="1:13" ht="16.5" x14ac:dyDescent="0.45">
      <c r="A4" s="64" t="s">
        <v>74</v>
      </c>
      <c r="D4" s="66" t="s">
        <v>140</v>
      </c>
      <c r="E4" s="61"/>
      <c r="F4" s="61"/>
      <c r="G4" s="62" t="s">
        <v>75</v>
      </c>
      <c r="I4" t="s">
        <v>144</v>
      </c>
      <c r="K4" t="s">
        <v>151</v>
      </c>
      <c r="L4" t="s">
        <v>152</v>
      </c>
      <c r="M4" s="70">
        <v>10890</v>
      </c>
    </row>
    <row r="5" spans="1:13" ht="16" x14ac:dyDescent="0.4">
      <c r="A5" s="64" t="s">
        <v>76</v>
      </c>
      <c r="D5" t="s">
        <v>141</v>
      </c>
      <c r="E5" s="61"/>
      <c r="F5" s="61"/>
      <c r="G5" s="62" t="s">
        <v>77</v>
      </c>
      <c r="K5" t="s">
        <v>153</v>
      </c>
      <c r="L5" t="s">
        <v>154</v>
      </c>
      <c r="M5" s="70">
        <v>10890</v>
      </c>
    </row>
    <row r="6" spans="1:13" ht="16" x14ac:dyDescent="0.4">
      <c r="A6" s="64" t="s">
        <v>78</v>
      </c>
      <c r="E6" s="61"/>
      <c r="F6" s="61"/>
      <c r="G6" s="62"/>
      <c r="K6" t="s">
        <v>155</v>
      </c>
      <c r="L6" t="s">
        <v>156</v>
      </c>
      <c r="M6" s="70">
        <v>14580.000000000002</v>
      </c>
    </row>
    <row r="7" spans="1:13" ht="16" x14ac:dyDescent="0.4">
      <c r="A7" s="64" t="s">
        <v>79</v>
      </c>
      <c r="E7" s="61"/>
      <c r="F7" s="61"/>
      <c r="G7" s="62"/>
      <c r="K7" t="s">
        <v>157</v>
      </c>
      <c r="L7" t="s">
        <v>158</v>
      </c>
      <c r="M7" s="70">
        <v>10890</v>
      </c>
    </row>
    <row r="8" spans="1:13" ht="16" x14ac:dyDescent="0.4">
      <c r="A8" s="64" t="s">
        <v>80</v>
      </c>
      <c r="D8" s="42"/>
      <c r="E8" s="61"/>
      <c r="F8" s="61"/>
      <c r="G8" s="62"/>
      <c r="K8" t="s">
        <v>159</v>
      </c>
      <c r="L8" t="s">
        <v>160</v>
      </c>
      <c r="M8" s="70">
        <v>12650.000000000002</v>
      </c>
    </row>
    <row r="9" spans="1:13" ht="16" x14ac:dyDescent="0.4">
      <c r="A9" s="64" t="s">
        <v>81</v>
      </c>
      <c r="D9" s="42"/>
      <c r="E9" s="61"/>
      <c r="F9" s="61"/>
      <c r="G9" s="62"/>
      <c r="K9" t="s">
        <v>161</v>
      </c>
      <c r="L9" t="s">
        <v>162</v>
      </c>
      <c r="M9" s="70">
        <v>10890</v>
      </c>
    </row>
    <row r="10" spans="1:13" ht="16" x14ac:dyDescent="0.4">
      <c r="A10" s="64" t="s">
        <v>82</v>
      </c>
      <c r="D10" s="42"/>
      <c r="E10" s="61"/>
      <c r="F10" s="61"/>
      <c r="G10" s="62"/>
      <c r="K10" t="s">
        <v>163</v>
      </c>
      <c r="L10" t="s">
        <v>164</v>
      </c>
      <c r="M10" s="70">
        <v>15370</v>
      </c>
    </row>
    <row r="11" spans="1:13" ht="16" x14ac:dyDescent="0.35">
      <c r="A11" s="64" t="s">
        <v>83</v>
      </c>
      <c r="G11" s="67"/>
      <c r="K11" t="s">
        <v>165</v>
      </c>
      <c r="L11" t="s">
        <v>166</v>
      </c>
      <c r="M11" s="70">
        <v>15370</v>
      </c>
    </row>
    <row r="12" spans="1:13" ht="16" x14ac:dyDescent="0.35">
      <c r="A12" s="64" t="s">
        <v>84</v>
      </c>
      <c r="G12" s="67"/>
      <c r="K12" t="s">
        <v>167</v>
      </c>
      <c r="L12" t="s">
        <v>168</v>
      </c>
      <c r="M12" s="70">
        <v>10890</v>
      </c>
    </row>
    <row r="13" spans="1:13" ht="16" x14ac:dyDescent="0.35">
      <c r="A13" s="64" t="s">
        <v>85</v>
      </c>
      <c r="G13" s="67"/>
      <c r="K13" t="s">
        <v>169</v>
      </c>
      <c r="L13" t="s">
        <v>170</v>
      </c>
      <c r="M13" s="70">
        <v>17325</v>
      </c>
    </row>
    <row r="14" spans="1:13" ht="16" x14ac:dyDescent="0.35">
      <c r="A14" s="64" t="s">
        <v>86</v>
      </c>
      <c r="G14" s="67"/>
      <c r="K14" t="s">
        <v>171</v>
      </c>
      <c r="L14" t="s">
        <v>172</v>
      </c>
      <c r="M14" s="70">
        <v>10890</v>
      </c>
    </row>
    <row r="15" spans="1:13" ht="16" x14ac:dyDescent="0.35">
      <c r="A15" s="64" t="s">
        <v>87</v>
      </c>
      <c r="G15" s="67"/>
      <c r="K15" t="s">
        <v>173</v>
      </c>
      <c r="L15" t="s">
        <v>174</v>
      </c>
      <c r="M15" s="70">
        <v>10890</v>
      </c>
    </row>
    <row r="16" spans="1:13" ht="16.5" x14ac:dyDescent="0.45">
      <c r="A16" s="64" t="s">
        <v>88</v>
      </c>
      <c r="F16" s="66"/>
      <c r="G16" s="67"/>
      <c r="K16" t="s">
        <v>175</v>
      </c>
      <c r="L16" t="s">
        <v>176</v>
      </c>
      <c r="M16" s="70">
        <v>10890</v>
      </c>
    </row>
    <row r="17" spans="1:13" ht="16" x14ac:dyDescent="0.35">
      <c r="A17" s="64" t="s">
        <v>89</v>
      </c>
      <c r="G17" s="67"/>
      <c r="K17" t="s">
        <v>177</v>
      </c>
      <c r="L17" t="s">
        <v>178</v>
      </c>
      <c r="M17" s="70">
        <v>10890</v>
      </c>
    </row>
    <row r="18" spans="1:13" ht="16" x14ac:dyDescent="0.35">
      <c r="A18" s="64" t="s">
        <v>90</v>
      </c>
      <c r="G18" s="67"/>
      <c r="K18" t="s">
        <v>179</v>
      </c>
      <c r="L18" t="s">
        <v>180</v>
      </c>
      <c r="M18" s="70">
        <v>10890</v>
      </c>
    </row>
    <row r="19" spans="1:13" ht="16" x14ac:dyDescent="0.35">
      <c r="A19" s="64" t="s">
        <v>91</v>
      </c>
      <c r="G19" s="67"/>
      <c r="K19" t="s">
        <v>181</v>
      </c>
      <c r="L19" t="s">
        <v>182</v>
      </c>
      <c r="M19" s="70">
        <v>10890</v>
      </c>
    </row>
    <row r="20" spans="1:13" ht="16" x14ac:dyDescent="0.35">
      <c r="A20" s="64" t="s">
        <v>92</v>
      </c>
      <c r="G20" s="67"/>
      <c r="K20" t="s">
        <v>183</v>
      </c>
      <c r="L20" t="s">
        <v>184</v>
      </c>
      <c r="M20" s="70">
        <v>10890</v>
      </c>
    </row>
    <row r="21" spans="1:13" ht="16" x14ac:dyDescent="0.35">
      <c r="A21" s="64" t="s">
        <v>93</v>
      </c>
      <c r="D21" s="68"/>
      <c r="G21" s="67"/>
      <c r="K21" t="s">
        <v>185</v>
      </c>
      <c r="L21" t="s">
        <v>186</v>
      </c>
      <c r="M21" s="70">
        <v>10890</v>
      </c>
    </row>
    <row r="22" spans="1:13" ht="16" x14ac:dyDescent="0.35">
      <c r="A22" s="64" t="s">
        <v>94</v>
      </c>
      <c r="G22" s="67"/>
      <c r="K22" t="s">
        <v>187</v>
      </c>
      <c r="L22" t="s">
        <v>188</v>
      </c>
      <c r="M22" s="70">
        <v>14580.000000000002</v>
      </c>
    </row>
    <row r="23" spans="1:13" ht="16" x14ac:dyDescent="0.35">
      <c r="A23" s="64" t="s">
        <v>95</v>
      </c>
      <c r="G23" s="67"/>
      <c r="K23" t="s">
        <v>189</v>
      </c>
      <c r="L23" t="s">
        <v>190</v>
      </c>
      <c r="M23" s="70">
        <v>10890</v>
      </c>
    </row>
    <row r="24" spans="1:13" ht="16" x14ac:dyDescent="0.35">
      <c r="A24" s="64" t="s">
        <v>96</v>
      </c>
      <c r="G24" s="67"/>
      <c r="K24" t="s">
        <v>191</v>
      </c>
      <c r="L24" t="s">
        <v>192</v>
      </c>
      <c r="M24" s="70">
        <v>10890</v>
      </c>
    </row>
    <row r="25" spans="1:13" ht="16" x14ac:dyDescent="0.35">
      <c r="A25" s="64" t="s">
        <v>97</v>
      </c>
      <c r="G25" s="67"/>
      <c r="K25" t="s">
        <v>193</v>
      </c>
      <c r="L25" t="s">
        <v>194</v>
      </c>
      <c r="M25" s="70">
        <v>10890</v>
      </c>
    </row>
    <row r="26" spans="1:13" ht="16" x14ac:dyDescent="0.35">
      <c r="A26" s="64" t="s">
        <v>98</v>
      </c>
      <c r="G26" s="67"/>
      <c r="K26" t="s">
        <v>195</v>
      </c>
      <c r="L26" t="s">
        <v>196</v>
      </c>
      <c r="M26" s="70">
        <v>15370</v>
      </c>
    </row>
    <row r="27" spans="1:13" x14ac:dyDescent="0.35">
      <c r="K27" t="s">
        <v>197</v>
      </c>
      <c r="L27" t="s">
        <v>198</v>
      </c>
      <c r="M27" s="70">
        <v>10890</v>
      </c>
    </row>
    <row r="28" spans="1:13" x14ac:dyDescent="0.35">
      <c r="K28" t="s">
        <v>199</v>
      </c>
      <c r="L28" t="s">
        <v>200</v>
      </c>
      <c r="M28" s="70">
        <v>10890</v>
      </c>
    </row>
    <row r="29" spans="1:13" x14ac:dyDescent="0.35">
      <c r="K29" t="s">
        <v>201</v>
      </c>
      <c r="L29" t="s">
        <v>202</v>
      </c>
      <c r="M29" s="70">
        <v>14580.000000000002</v>
      </c>
    </row>
    <row r="30" spans="1:13" x14ac:dyDescent="0.35">
      <c r="K30" t="s">
        <v>203</v>
      </c>
      <c r="L30" t="s">
        <v>204</v>
      </c>
      <c r="M30" s="70">
        <v>15370</v>
      </c>
    </row>
    <row r="31" spans="1:13" x14ac:dyDescent="0.35">
      <c r="K31" t="s">
        <v>205</v>
      </c>
      <c r="L31" t="s">
        <v>206</v>
      </c>
      <c r="M31" s="70">
        <v>10890</v>
      </c>
    </row>
    <row r="32" spans="1:13" x14ac:dyDescent="0.35">
      <c r="K32" t="s">
        <v>207</v>
      </c>
      <c r="L32" t="s">
        <v>208</v>
      </c>
      <c r="M32" s="70">
        <v>10890</v>
      </c>
    </row>
    <row r="33" spans="11:13" x14ac:dyDescent="0.35">
      <c r="K33" t="s">
        <v>209</v>
      </c>
      <c r="L33" t="s">
        <v>210</v>
      </c>
      <c r="M33" s="70">
        <v>10890</v>
      </c>
    </row>
    <row r="34" spans="11:13" x14ac:dyDescent="0.35">
      <c r="K34" t="s">
        <v>211</v>
      </c>
      <c r="L34" t="s">
        <v>212</v>
      </c>
      <c r="M34" s="70">
        <v>12650.000000000002</v>
      </c>
    </row>
    <row r="35" spans="11:13" x14ac:dyDescent="0.35">
      <c r="K35" t="s">
        <v>213</v>
      </c>
      <c r="L35" t="s">
        <v>214</v>
      </c>
      <c r="M35" s="70">
        <v>10890</v>
      </c>
    </row>
    <row r="36" spans="11:13" x14ac:dyDescent="0.35">
      <c r="K36" t="s">
        <v>215</v>
      </c>
      <c r="L36" t="s">
        <v>216</v>
      </c>
      <c r="M36" s="70">
        <v>11550.000000000002</v>
      </c>
    </row>
    <row r="37" spans="11:13" x14ac:dyDescent="0.35">
      <c r="K37" t="s">
        <v>217</v>
      </c>
      <c r="L37" t="s">
        <v>218</v>
      </c>
      <c r="M37" s="70">
        <v>10890</v>
      </c>
    </row>
    <row r="38" spans="11:13" x14ac:dyDescent="0.35">
      <c r="K38" t="s">
        <v>219</v>
      </c>
      <c r="L38" t="s">
        <v>220</v>
      </c>
      <c r="M38" s="70">
        <v>12650.000000000002</v>
      </c>
    </row>
    <row r="39" spans="11:13" x14ac:dyDescent="0.35">
      <c r="K39" t="s">
        <v>221</v>
      </c>
      <c r="L39" t="s">
        <v>222</v>
      </c>
      <c r="M39" s="70">
        <v>15370</v>
      </c>
    </row>
    <row r="40" spans="11:13" x14ac:dyDescent="0.35">
      <c r="K40" t="s">
        <v>223</v>
      </c>
      <c r="L40" t="s">
        <v>224</v>
      </c>
      <c r="M40" s="70">
        <v>10890</v>
      </c>
    </row>
    <row r="41" spans="11:13" x14ac:dyDescent="0.35">
      <c r="K41" t="s">
        <v>225</v>
      </c>
      <c r="L41" t="s">
        <v>226</v>
      </c>
      <c r="M41" s="70">
        <v>10890</v>
      </c>
    </row>
    <row r="42" spans="11:13" x14ac:dyDescent="0.35">
      <c r="K42" t="s">
        <v>227</v>
      </c>
      <c r="L42" t="s">
        <v>228</v>
      </c>
      <c r="M42" s="70">
        <v>12650.000000000002</v>
      </c>
    </row>
    <row r="43" spans="11:13" x14ac:dyDescent="0.35">
      <c r="K43" t="s">
        <v>229</v>
      </c>
      <c r="L43" t="s">
        <v>230</v>
      </c>
      <c r="M43" s="70">
        <v>10890</v>
      </c>
    </row>
    <row r="44" spans="11:13" x14ac:dyDescent="0.35">
      <c r="K44" t="s">
        <v>231</v>
      </c>
      <c r="L44" t="s">
        <v>232</v>
      </c>
      <c r="M44" s="70">
        <v>14580.000000000002</v>
      </c>
    </row>
    <row r="45" spans="11:13" x14ac:dyDescent="0.35">
      <c r="K45" t="s">
        <v>233</v>
      </c>
      <c r="L45" t="s">
        <v>234</v>
      </c>
      <c r="M45" s="70">
        <v>10890</v>
      </c>
    </row>
    <row r="46" spans="11:13" x14ac:dyDescent="0.35">
      <c r="K46" t="s">
        <v>235</v>
      </c>
      <c r="L46" t="s">
        <v>236</v>
      </c>
      <c r="M46" s="70">
        <v>10890</v>
      </c>
    </row>
    <row r="47" spans="11:13" x14ac:dyDescent="0.35">
      <c r="K47" t="s">
        <v>237</v>
      </c>
      <c r="L47" t="s">
        <v>238</v>
      </c>
      <c r="M47" s="70">
        <v>15370</v>
      </c>
    </row>
    <row r="48" spans="11:13" x14ac:dyDescent="0.35">
      <c r="K48" t="s">
        <v>239</v>
      </c>
      <c r="L48" t="s">
        <v>240</v>
      </c>
      <c r="M48" s="70">
        <v>10890</v>
      </c>
    </row>
    <row r="49" spans="11:13" x14ac:dyDescent="0.35">
      <c r="K49" t="s">
        <v>241</v>
      </c>
      <c r="L49" t="s">
        <v>242</v>
      </c>
      <c r="M49" s="70">
        <v>10890</v>
      </c>
    </row>
    <row r="50" spans="11:13" x14ac:dyDescent="0.35">
      <c r="K50" t="s">
        <v>243</v>
      </c>
      <c r="L50" t="s">
        <v>244</v>
      </c>
      <c r="M50" s="70">
        <v>14580.000000000002</v>
      </c>
    </row>
    <row r="51" spans="11:13" x14ac:dyDescent="0.35">
      <c r="K51" t="s">
        <v>245</v>
      </c>
      <c r="L51" t="s">
        <v>246</v>
      </c>
      <c r="M51" s="70">
        <v>10890</v>
      </c>
    </row>
    <row r="52" spans="11:13" x14ac:dyDescent="0.35">
      <c r="K52" t="s">
        <v>247</v>
      </c>
      <c r="L52" t="s">
        <v>248</v>
      </c>
      <c r="M52" s="70">
        <v>17325</v>
      </c>
    </row>
    <row r="53" spans="11:13" x14ac:dyDescent="0.35">
      <c r="K53" t="s">
        <v>249</v>
      </c>
      <c r="L53" t="s">
        <v>250</v>
      </c>
      <c r="M53" s="70">
        <v>12650.000000000002</v>
      </c>
    </row>
    <row r="54" spans="11:13" x14ac:dyDescent="0.35">
      <c r="K54" t="s">
        <v>251</v>
      </c>
      <c r="L54" t="s">
        <v>252</v>
      </c>
      <c r="M54" s="70">
        <v>10890</v>
      </c>
    </row>
    <row r="55" spans="11:13" x14ac:dyDescent="0.35">
      <c r="K55" t="s">
        <v>253</v>
      </c>
      <c r="L55" t="s">
        <v>254</v>
      </c>
      <c r="M55" s="70">
        <v>10890</v>
      </c>
    </row>
    <row r="56" spans="11:13" x14ac:dyDescent="0.35">
      <c r="K56" t="s">
        <v>255</v>
      </c>
      <c r="L56" t="s">
        <v>256</v>
      </c>
      <c r="M56" s="70">
        <v>10890</v>
      </c>
    </row>
    <row r="57" spans="11:13" x14ac:dyDescent="0.35">
      <c r="K57" t="s">
        <v>257</v>
      </c>
      <c r="L57" t="s">
        <v>258</v>
      </c>
      <c r="M57" s="70">
        <v>11550.000000000002</v>
      </c>
    </row>
    <row r="58" spans="11:13" x14ac:dyDescent="0.35">
      <c r="K58" t="s">
        <v>259</v>
      </c>
      <c r="L58" t="s">
        <v>260</v>
      </c>
      <c r="M58" s="70">
        <v>11550.000000000002</v>
      </c>
    </row>
    <row r="59" spans="11:13" x14ac:dyDescent="0.35">
      <c r="K59" t="s">
        <v>261</v>
      </c>
      <c r="L59" t="s">
        <v>262</v>
      </c>
      <c r="M59" s="70">
        <v>12650.000000000002</v>
      </c>
    </row>
    <row r="60" spans="11:13" x14ac:dyDescent="0.35">
      <c r="K60" t="s">
        <v>263</v>
      </c>
      <c r="L60" t="s">
        <v>264</v>
      </c>
      <c r="M60" s="70">
        <v>14580.000000000002</v>
      </c>
    </row>
    <row r="61" spans="11:13" x14ac:dyDescent="0.35">
      <c r="K61" t="s">
        <v>265</v>
      </c>
      <c r="L61" t="s">
        <v>266</v>
      </c>
      <c r="M61" s="70">
        <v>15370</v>
      </c>
    </row>
    <row r="62" spans="11:13" x14ac:dyDescent="0.35">
      <c r="K62" t="s">
        <v>267</v>
      </c>
      <c r="L62" t="s">
        <v>268</v>
      </c>
      <c r="M62" s="70">
        <v>14580.000000000002</v>
      </c>
    </row>
    <row r="63" spans="11:13" x14ac:dyDescent="0.35">
      <c r="K63" t="s">
        <v>269</v>
      </c>
      <c r="L63" t="s">
        <v>270</v>
      </c>
      <c r="M63" s="70">
        <v>10890</v>
      </c>
    </row>
    <row r="64" spans="11:13" x14ac:dyDescent="0.35">
      <c r="K64" t="s">
        <v>271</v>
      </c>
      <c r="L64" t="s">
        <v>272</v>
      </c>
      <c r="M64" s="70">
        <v>17325</v>
      </c>
    </row>
    <row r="65" spans="11:13" x14ac:dyDescent="0.35">
      <c r="K65" t="s">
        <v>273</v>
      </c>
      <c r="L65" t="s">
        <v>274</v>
      </c>
      <c r="M65" s="70">
        <v>12650.000000000002</v>
      </c>
    </row>
    <row r="66" spans="11:13" x14ac:dyDescent="0.35">
      <c r="K66" t="s">
        <v>275</v>
      </c>
      <c r="L66" t="s">
        <v>276</v>
      </c>
      <c r="M66" s="70">
        <v>10890</v>
      </c>
    </row>
    <row r="67" spans="11:13" x14ac:dyDescent="0.35">
      <c r="K67" t="s">
        <v>277</v>
      </c>
      <c r="L67" t="s">
        <v>278</v>
      </c>
      <c r="M67" s="70">
        <v>10890</v>
      </c>
    </row>
    <row r="68" spans="11:13" x14ac:dyDescent="0.35">
      <c r="K68" t="s">
        <v>279</v>
      </c>
      <c r="L68" t="s">
        <v>280</v>
      </c>
      <c r="M68" s="70">
        <v>11550.000000000002</v>
      </c>
    </row>
    <row r="69" spans="11:13" x14ac:dyDescent="0.35">
      <c r="K69" t="s">
        <v>281</v>
      </c>
      <c r="L69" t="s">
        <v>282</v>
      </c>
      <c r="M69" s="70">
        <v>10890</v>
      </c>
    </row>
    <row r="70" spans="11:13" x14ac:dyDescent="0.35">
      <c r="K70" t="s">
        <v>283</v>
      </c>
      <c r="L70" t="s">
        <v>284</v>
      </c>
      <c r="M70" s="70">
        <v>10890</v>
      </c>
    </row>
    <row r="71" spans="11:13" x14ac:dyDescent="0.35">
      <c r="K71" t="s">
        <v>285</v>
      </c>
      <c r="L71" t="s">
        <v>286</v>
      </c>
      <c r="M71" s="70">
        <v>14580.000000000002</v>
      </c>
    </row>
    <row r="72" spans="11:13" x14ac:dyDescent="0.35">
      <c r="K72" t="s">
        <v>287</v>
      </c>
      <c r="L72" t="s">
        <v>288</v>
      </c>
      <c r="M72" s="70">
        <v>10890</v>
      </c>
    </row>
    <row r="73" spans="11:13" x14ac:dyDescent="0.35">
      <c r="K73" t="s">
        <v>289</v>
      </c>
      <c r="L73" t="s">
        <v>290</v>
      </c>
      <c r="M73" s="70">
        <v>10890</v>
      </c>
    </row>
    <row r="74" spans="11:13" x14ac:dyDescent="0.35">
      <c r="K74" t="s">
        <v>291</v>
      </c>
      <c r="L74" t="s">
        <v>292</v>
      </c>
      <c r="M74" s="70">
        <v>14580.000000000002</v>
      </c>
    </row>
    <row r="75" spans="11:13" x14ac:dyDescent="0.35">
      <c r="K75" t="s">
        <v>293</v>
      </c>
      <c r="L75" t="s">
        <v>294</v>
      </c>
      <c r="M75" s="70">
        <v>10890</v>
      </c>
    </row>
    <row r="76" spans="11:13" x14ac:dyDescent="0.35">
      <c r="K76" t="s">
        <v>295</v>
      </c>
      <c r="L76" t="s">
        <v>296</v>
      </c>
      <c r="M76" s="70">
        <v>12650.000000000002</v>
      </c>
    </row>
    <row r="77" spans="11:13" x14ac:dyDescent="0.35">
      <c r="K77" t="s">
        <v>297</v>
      </c>
      <c r="L77" t="s">
        <v>298</v>
      </c>
      <c r="M77" s="70">
        <v>14580.000000000002</v>
      </c>
    </row>
    <row r="78" spans="11:13" x14ac:dyDescent="0.35">
      <c r="K78" t="s">
        <v>299</v>
      </c>
      <c r="L78" t="s">
        <v>300</v>
      </c>
      <c r="M78" s="70">
        <v>14580.000000000002</v>
      </c>
    </row>
    <row r="79" spans="11:13" x14ac:dyDescent="0.35">
      <c r="K79" t="s">
        <v>301</v>
      </c>
      <c r="L79" t="s">
        <v>302</v>
      </c>
      <c r="M79" s="70">
        <v>10890</v>
      </c>
    </row>
    <row r="80" spans="11:13" x14ac:dyDescent="0.35">
      <c r="K80" t="s">
        <v>303</v>
      </c>
      <c r="L80" t="s">
        <v>304</v>
      </c>
      <c r="M80" s="70">
        <v>14580.000000000002</v>
      </c>
    </row>
    <row r="81" spans="11:13" x14ac:dyDescent="0.35">
      <c r="K81" t="s">
        <v>305</v>
      </c>
      <c r="L81" t="s">
        <v>306</v>
      </c>
      <c r="M81" s="70">
        <v>12650.000000000002</v>
      </c>
    </row>
    <row r="82" spans="11:13" x14ac:dyDescent="0.35">
      <c r="K82" t="s">
        <v>307</v>
      </c>
      <c r="L82" t="s">
        <v>308</v>
      </c>
      <c r="M82" s="70">
        <v>15370</v>
      </c>
    </row>
    <row r="83" spans="11:13" x14ac:dyDescent="0.35">
      <c r="K83" t="s">
        <v>309</v>
      </c>
      <c r="L83" t="s">
        <v>310</v>
      </c>
      <c r="M83" s="70">
        <v>10890</v>
      </c>
    </row>
    <row r="84" spans="11:13" x14ac:dyDescent="0.35">
      <c r="K84" t="s">
        <v>311</v>
      </c>
      <c r="L84" t="s">
        <v>312</v>
      </c>
      <c r="M84" s="70">
        <v>16430</v>
      </c>
    </row>
    <row r="85" spans="11:13" x14ac:dyDescent="0.35">
      <c r="K85" t="s">
        <v>313</v>
      </c>
      <c r="L85" t="s">
        <v>314</v>
      </c>
      <c r="M85" s="70">
        <v>12650.000000000002</v>
      </c>
    </row>
    <row r="86" spans="11:13" x14ac:dyDescent="0.35">
      <c r="K86" t="s">
        <v>315</v>
      </c>
      <c r="L86" t="s">
        <v>316</v>
      </c>
      <c r="M86" s="70">
        <v>14580.000000000002</v>
      </c>
    </row>
    <row r="87" spans="11:13" x14ac:dyDescent="0.35">
      <c r="K87" t="s">
        <v>317</v>
      </c>
      <c r="L87" t="s">
        <v>318</v>
      </c>
      <c r="M87" s="70">
        <v>10890</v>
      </c>
    </row>
    <row r="88" spans="11:13" x14ac:dyDescent="0.35">
      <c r="K88" t="s">
        <v>319</v>
      </c>
      <c r="L88" t="s">
        <v>320</v>
      </c>
      <c r="M88" s="70">
        <v>10890</v>
      </c>
    </row>
    <row r="89" spans="11:13" x14ac:dyDescent="0.35">
      <c r="K89" t="s">
        <v>321</v>
      </c>
      <c r="L89" t="s">
        <v>322</v>
      </c>
      <c r="M89" s="70">
        <v>10890</v>
      </c>
    </row>
    <row r="90" spans="11:13" x14ac:dyDescent="0.35">
      <c r="K90" t="s">
        <v>323</v>
      </c>
      <c r="L90" t="s">
        <v>324</v>
      </c>
      <c r="M90" s="70">
        <v>10890</v>
      </c>
    </row>
    <row r="91" spans="11:13" x14ac:dyDescent="0.35">
      <c r="K91" t="s">
        <v>325</v>
      </c>
      <c r="L91" t="s">
        <v>326</v>
      </c>
      <c r="M91" s="70">
        <v>10890</v>
      </c>
    </row>
    <row r="92" spans="11:13" x14ac:dyDescent="0.35">
      <c r="K92" t="s">
        <v>327</v>
      </c>
      <c r="L92" t="s">
        <v>328</v>
      </c>
      <c r="M92" s="70">
        <v>10890</v>
      </c>
    </row>
    <row r="93" spans="11:13" x14ac:dyDescent="0.35">
      <c r="K93" t="s">
        <v>329</v>
      </c>
      <c r="L93" t="s">
        <v>330</v>
      </c>
      <c r="M93" s="70">
        <v>12650.000000000002</v>
      </c>
    </row>
    <row r="94" spans="11:13" x14ac:dyDescent="0.35">
      <c r="K94" t="s">
        <v>331</v>
      </c>
      <c r="L94" t="s">
        <v>332</v>
      </c>
      <c r="M94" s="70">
        <v>11550.000000000002</v>
      </c>
    </row>
    <row r="95" spans="11:13" x14ac:dyDescent="0.35">
      <c r="K95" t="s">
        <v>333</v>
      </c>
      <c r="L95" t="s">
        <v>334</v>
      </c>
      <c r="M95" s="70">
        <v>10890</v>
      </c>
    </row>
    <row r="96" spans="11:13" x14ac:dyDescent="0.35">
      <c r="K96" t="s">
        <v>335</v>
      </c>
      <c r="L96" t="s">
        <v>336</v>
      </c>
      <c r="M96" s="70">
        <v>12650.000000000002</v>
      </c>
    </row>
    <row r="97" spans="11:13" x14ac:dyDescent="0.35">
      <c r="K97" t="s">
        <v>337</v>
      </c>
      <c r="L97" t="s">
        <v>338</v>
      </c>
      <c r="M97" s="70">
        <v>14580.000000000002</v>
      </c>
    </row>
    <row r="98" spans="11:13" x14ac:dyDescent="0.35">
      <c r="K98" t="s">
        <v>339</v>
      </c>
      <c r="L98" t="s">
        <v>340</v>
      </c>
      <c r="M98" s="70">
        <v>17325</v>
      </c>
    </row>
    <row r="99" spans="11:13" x14ac:dyDescent="0.35">
      <c r="K99" t="s">
        <v>341</v>
      </c>
      <c r="L99" t="s">
        <v>342</v>
      </c>
      <c r="M99" s="70">
        <v>10890</v>
      </c>
    </row>
    <row r="100" spans="11:13" x14ac:dyDescent="0.35">
      <c r="K100" t="s">
        <v>343</v>
      </c>
      <c r="L100" t="s">
        <v>344</v>
      </c>
      <c r="M100" s="70">
        <v>14580.000000000002</v>
      </c>
    </row>
    <row r="101" spans="11:13" x14ac:dyDescent="0.35">
      <c r="K101" t="s">
        <v>345</v>
      </c>
      <c r="L101" t="s">
        <v>346</v>
      </c>
      <c r="M101" s="70">
        <v>10890</v>
      </c>
    </row>
    <row r="102" spans="11:13" x14ac:dyDescent="0.35">
      <c r="K102" t="s">
        <v>347</v>
      </c>
      <c r="L102" t="s">
        <v>348</v>
      </c>
      <c r="M102" s="70">
        <v>10890</v>
      </c>
    </row>
    <row r="103" spans="11:13" x14ac:dyDescent="0.35">
      <c r="K103" t="s">
        <v>349</v>
      </c>
      <c r="L103" t="s">
        <v>350</v>
      </c>
      <c r="M103" s="70">
        <v>12650.000000000002</v>
      </c>
    </row>
    <row r="104" spans="11:13" x14ac:dyDescent="0.35">
      <c r="K104" t="s">
        <v>351</v>
      </c>
      <c r="L104" t="s">
        <v>352</v>
      </c>
      <c r="M104" s="70">
        <v>17325</v>
      </c>
    </row>
    <row r="105" spans="11:13" x14ac:dyDescent="0.35">
      <c r="K105" t="s">
        <v>353</v>
      </c>
      <c r="L105" t="s">
        <v>354</v>
      </c>
      <c r="M105" s="70">
        <v>12650.000000000002</v>
      </c>
    </row>
    <row r="106" spans="11:13" x14ac:dyDescent="0.35">
      <c r="K106" t="s">
        <v>355</v>
      </c>
      <c r="L106" t="s">
        <v>356</v>
      </c>
      <c r="M106" s="70">
        <v>11550.000000000002</v>
      </c>
    </row>
    <row r="107" spans="11:13" x14ac:dyDescent="0.35">
      <c r="K107" t="s">
        <v>357</v>
      </c>
      <c r="L107" t="s">
        <v>358</v>
      </c>
      <c r="M107" s="70">
        <v>10890</v>
      </c>
    </row>
    <row r="108" spans="11:13" x14ac:dyDescent="0.35">
      <c r="K108" t="s">
        <v>359</v>
      </c>
      <c r="L108" t="s">
        <v>360</v>
      </c>
      <c r="M108" s="70">
        <v>14580.000000000002</v>
      </c>
    </row>
    <row r="109" spans="11:13" x14ac:dyDescent="0.35">
      <c r="K109" t="s">
        <v>361</v>
      </c>
      <c r="L109" t="s">
        <v>362</v>
      </c>
      <c r="M109" s="70">
        <v>10890</v>
      </c>
    </row>
    <row r="110" spans="11:13" x14ac:dyDescent="0.35">
      <c r="K110" t="s">
        <v>363</v>
      </c>
      <c r="L110" t="s">
        <v>364</v>
      </c>
      <c r="M110" s="70">
        <v>17325</v>
      </c>
    </row>
    <row r="111" spans="11:13" x14ac:dyDescent="0.35">
      <c r="K111" t="s">
        <v>365</v>
      </c>
      <c r="L111" t="s">
        <v>366</v>
      </c>
      <c r="M111" s="70">
        <v>17325</v>
      </c>
    </row>
    <row r="112" spans="11:13" x14ac:dyDescent="0.35">
      <c r="K112" t="s">
        <v>367</v>
      </c>
      <c r="L112" t="s">
        <v>368</v>
      </c>
      <c r="M112" s="70">
        <v>14580.000000000002</v>
      </c>
    </row>
    <row r="113" spans="11:13" x14ac:dyDescent="0.35">
      <c r="K113" t="s">
        <v>369</v>
      </c>
      <c r="L113" t="s">
        <v>370</v>
      </c>
      <c r="M113" s="70">
        <v>12650.000000000002</v>
      </c>
    </row>
    <row r="114" spans="11:13" x14ac:dyDescent="0.35">
      <c r="K114" t="s">
        <v>371</v>
      </c>
      <c r="L114" t="s">
        <v>372</v>
      </c>
      <c r="M114" s="70">
        <v>11550.000000000002</v>
      </c>
    </row>
    <row r="115" spans="11:13" x14ac:dyDescent="0.35">
      <c r="K115" t="s">
        <v>373</v>
      </c>
      <c r="L115" t="s">
        <v>374</v>
      </c>
      <c r="M115" s="70">
        <v>10890</v>
      </c>
    </row>
    <row r="116" spans="11:13" x14ac:dyDescent="0.35">
      <c r="K116" t="s">
        <v>375</v>
      </c>
      <c r="L116" t="s">
        <v>376</v>
      </c>
      <c r="M116" s="70">
        <v>16430</v>
      </c>
    </row>
    <row r="117" spans="11:13" x14ac:dyDescent="0.35">
      <c r="K117" t="s">
        <v>377</v>
      </c>
      <c r="L117" t="s">
        <v>378</v>
      </c>
      <c r="M117" s="70">
        <v>14580.000000000002</v>
      </c>
    </row>
    <row r="118" spans="11:13" x14ac:dyDescent="0.35">
      <c r="K118" t="s">
        <v>379</v>
      </c>
      <c r="L118" t="s">
        <v>380</v>
      </c>
      <c r="M118" s="70">
        <v>14580.000000000002</v>
      </c>
    </row>
    <row r="119" spans="11:13" x14ac:dyDescent="0.35">
      <c r="K119" t="s">
        <v>381</v>
      </c>
      <c r="L119" t="s">
        <v>382</v>
      </c>
      <c r="M119" s="70">
        <v>14580.000000000002</v>
      </c>
    </row>
    <row r="120" spans="11:13" x14ac:dyDescent="0.35">
      <c r="K120" t="s">
        <v>383</v>
      </c>
      <c r="L120" t="s">
        <v>384</v>
      </c>
      <c r="M120" s="70">
        <v>10890</v>
      </c>
    </row>
    <row r="121" spans="11:13" x14ac:dyDescent="0.35">
      <c r="K121" t="s">
        <v>385</v>
      </c>
      <c r="L121" t="s">
        <v>386</v>
      </c>
      <c r="M121" s="70">
        <v>14580.000000000002</v>
      </c>
    </row>
    <row r="122" spans="11:13" x14ac:dyDescent="0.35">
      <c r="K122" t="s">
        <v>387</v>
      </c>
      <c r="L122" t="s">
        <v>388</v>
      </c>
      <c r="M122" s="70">
        <v>15370</v>
      </c>
    </row>
    <row r="123" spans="11:13" x14ac:dyDescent="0.35">
      <c r="K123" t="s">
        <v>389</v>
      </c>
      <c r="L123" t="s">
        <v>390</v>
      </c>
      <c r="M123" s="70">
        <v>12650.000000000002</v>
      </c>
    </row>
    <row r="124" spans="11:13" x14ac:dyDescent="0.35">
      <c r="K124" t="s">
        <v>391</v>
      </c>
      <c r="L124" t="s">
        <v>392</v>
      </c>
      <c r="M124" s="70">
        <v>10890</v>
      </c>
    </row>
    <row r="125" spans="11:13" x14ac:dyDescent="0.35">
      <c r="K125" t="s">
        <v>393</v>
      </c>
      <c r="L125" t="s">
        <v>394</v>
      </c>
      <c r="M125" s="70">
        <v>11550.000000000002</v>
      </c>
    </row>
    <row r="126" spans="11:13" x14ac:dyDescent="0.35">
      <c r="K126" t="s">
        <v>395</v>
      </c>
      <c r="L126" t="s">
        <v>396</v>
      </c>
      <c r="M126" s="70">
        <v>10890</v>
      </c>
    </row>
    <row r="127" spans="11:13" x14ac:dyDescent="0.35">
      <c r="K127" t="s">
        <v>397</v>
      </c>
      <c r="L127" t="s">
        <v>398</v>
      </c>
      <c r="M127" s="70">
        <v>18375</v>
      </c>
    </row>
    <row r="128" spans="11:13" x14ac:dyDescent="0.35">
      <c r="K128" t="s">
        <v>399</v>
      </c>
      <c r="L128" t="s">
        <v>400</v>
      </c>
      <c r="M128" s="70">
        <v>14580.000000000002</v>
      </c>
    </row>
    <row r="129" spans="11:13" x14ac:dyDescent="0.35">
      <c r="K129" t="s">
        <v>401</v>
      </c>
      <c r="L129" t="s">
        <v>402</v>
      </c>
      <c r="M129" s="70">
        <v>11550.000000000002</v>
      </c>
    </row>
    <row r="130" spans="11:13" x14ac:dyDescent="0.35">
      <c r="K130" t="s">
        <v>403</v>
      </c>
      <c r="L130" t="s">
        <v>404</v>
      </c>
      <c r="M130" s="70">
        <v>10890</v>
      </c>
    </row>
    <row r="131" spans="11:13" x14ac:dyDescent="0.35">
      <c r="K131" t="s">
        <v>405</v>
      </c>
      <c r="L131" t="s">
        <v>406</v>
      </c>
      <c r="M131" s="70">
        <v>12650.000000000002</v>
      </c>
    </row>
    <row r="132" spans="11:13" x14ac:dyDescent="0.35">
      <c r="K132" t="s">
        <v>407</v>
      </c>
      <c r="L132" t="s">
        <v>408</v>
      </c>
      <c r="M132" s="70">
        <v>14580.000000000002</v>
      </c>
    </row>
    <row r="133" spans="11:13" x14ac:dyDescent="0.35">
      <c r="K133" t="s">
        <v>409</v>
      </c>
      <c r="L133" t="s">
        <v>410</v>
      </c>
      <c r="M133" s="70">
        <v>10890</v>
      </c>
    </row>
    <row r="134" spans="11:13" x14ac:dyDescent="0.35">
      <c r="K134" t="s">
        <v>411</v>
      </c>
      <c r="L134" t="s">
        <v>412</v>
      </c>
      <c r="M134" s="70">
        <v>10890</v>
      </c>
    </row>
    <row r="135" spans="11:13" x14ac:dyDescent="0.35">
      <c r="K135" t="s">
        <v>413</v>
      </c>
      <c r="L135" t="s">
        <v>414</v>
      </c>
      <c r="M135" s="70">
        <v>10890</v>
      </c>
    </row>
    <row r="136" spans="11:13" x14ac:dyDescent="0.35">
      <c r="K136" t="s">
        <v>415</v>
      </c>
      <c r="L136" t="s">
        <v>416</v>
      </c>
      <c r="M136" s="70">
        <v>10890</v>
      </c>
    </row>
    <row r="137" spans="11:13" x14ac:dyDescent="0.35">
      <c r="K137" t="s">
        <v>417</v>
      </c>
      <c r="L137" t="s">
        <v>418</v>
      </c>
      <c r="M137" s="70">
        <v>12650.000000000002</v>
      </c>
    </row>
    <row r="138" spans="11:13" x14ac:dyDescent="0.35">
      <c r="K138" t="s">
        <v>419</v>
      </c>
      <c r="L138" t="s">
        <v>420</v>
      </c>
      <c r="M138" s="70">
        <v>12650.000000000002</v>
      </c>
    </row>
    <row r="139" spans="11:13" x14ac:dyDescent="0.35">
      <c r="K139" t="s">
        <v>421</v>
      </c>
      <c r="L139" t="s">
        <v>422</v>
      </c>
      <c r="M139" s="70">
        <v>10890</v>
      </c>
    </row>
    <row r="140" spans="11:13" x14ac:dyDescent="0.35">
      <c r="K140" t="s">
        <v>423</v>
      </c>
      <c r="L140" t="s">
        <v>424</v>
      </c>
      <c r="M140" s="70">
        <v>17325</v>
      </c>
    </row>
    <row r="141" spans="11:13" x14ac:dyDescent="0.35">
      <c r="K141" t="s">
        <v>425</v>
      </c>
      <c r="L141" t="s">
        <v>426</v>
      </c>
      <c r="M141" s="70">
        <v>10890</v>
      </c>
    </row>
    <row r="142" spans="11:13" x14ac:dyDescent="0.35">
      <c r="K142" t="s">
        <v>427</v>
      </c>
      <c r="L142" t="s">
        <v>428</v>
      </c>
      <c r="M142" s="70">
        <v>10890</v>
      </c>
    </row>
    <row r="143" spans="11:13" x14ac:dyDescent="0.35">
      <c r="K143" t="s">
        <v>429</v>
      </c>
      <c r="L143" t="s">
        <v>430</v>
      </c>
      <c r="M143" s="70">
        <v>11550.000000000002</v>
      </c>
    </row>
    <row r="144" spans="11:13" x14ac:dyDescent="0.35">
      <c r="K144" t="s">
        <v>431</v>
      </c>
      <c r="L144" t="s">
        <v>432</v>
      </c>
      <c r="M144" s="70">
        <v>14580.000000000002</v>
      </c>
    </row>
    <row r="145" spans="11:13" x14ac:dyDescent="0.35">
      <c r="K145" t="s">
        <v>433</v>
      </c>
      <c r="L145" t="s">
        <v>434</v>
      </c>
      <c r="M145" s="70">
        <v>10890</v>
      </c>
    </row>
    <row r="146" spans="11:13" x14ac:dyDescent="0.35">
      <c r="K146" t="s">
        <v>435</v>
      </c>
      <c r="L146" t="s">
        <v>436</v>
      </c>
      <c r="M146" s="70">
        <v>10890</v>
      </c>
    </row>
    <row r="147" spans="11:13" x14ac:dyDescent="0.35">
      <c r="K147" t="s">
        <v>437</v>
      </c>
      <c r="L147" t="s">
        <v>438</v>
      </c>
      <c r="M147" s="70">
        <v>12650.000000000002</v>
      </c>
    </row>
    <row r="148" spans="11:13" x14ac:dyDescent="0.35">
      <c r="K148" t="s">
        <v>439</v>
      </c>
      <c r="L148" t="s">
        <v>440</v>
      </c>
      <c r="M148" s="70">
        <v>10890</v>
      </c>
    </row>
    <row r="149" spans="11:13" x14ac:dyDescent="0.35">
      <c r="K149" t="s">
        <v>441</v>
      </c>
      <c r="L149" t="s">
        <v>442</v>
      </c>
      <c r="M149" s="70">
        <v>10890</v>
      </c>
    </row>
    <row r="150" spans="11:13" x14ac:dyDescent="0.35">
      <c r="K150" t="s">
        <v>443</v>
      </c>
      <c r="L150" t="s">
        <v>444</v>
      </c>
      <c r="M150" s="70">
        <v>16430</v>
      </c>
    </row>
    <row r="151" spans="11:13" x14ac:dyDescent="0.35">
      <c r="K151" t="s">
        <v>445</v>
      </c>
      <c r="L151" t="s">
        <v>446</v>
      </c>
      <c r="M151" s="70">
        <v>10890</v>
      </c>
    </row>
    <row r="152" spans="11:13" x14ac:dyDescent="0.35">
      <c r="K152" t="s">
        <v>447</v>
      </c>
      <c r="L152" t="s">
        <v>448</v>
      </c>
      <c r="M152" s="70">
        <v>14580.000000000002</v>
      </c>
    </row>
    <row r="153" spans="11:13" x14ac:dyDescent="0.35">
      <c r="K153" t="s">
        <v>449</v>
      </c>
      <c r="L153" t="s">
        <v>450</v>
      </c>
      <c r="M153" s="70">
        <v>17325</v>
      </c>
    </row>
    <row r="154" spans="11:13" x14ac:dyDescent="0.35">
      <c r="K154" t="s">
        <v>451</v>
      </c>
      <c r="L154" t="s">
        <v>452</v>
      </c>
      <c r="M154" s="70">
        <v>10890</v>
      </c>
    </row>
    <row r="155" spans="11:13" x14ac:dyDescent="0.35">
      <c r="K155" t="s">
        <v>453</v>
      </c>
      <c r="L155" t="s">
        <v>454</v>
      </c>
      <c r="M155" s="70">
        <v>10890</v>
      </c>
    </row>
    <row r="156" spans="11:13" x14ac:dyDescent="0.35">
      <c r="K156" t="s">
        <v>455</v>
      </c>
      <c r="L156" t="s">
        <v>456</v>
      </c>
      <c r="M156" s="70">
        <v>10890</v>
      </c>
    </row>
    <row r="157" spans="11:13" x14ac:dyDescent="0.35">
      <c r="K157" t="s">
        <v>457</v>
      </c>
      <c r="L157" t="s">
        <v>458</v>
      </c>
      <c r="M157" s="70">
        <v>16430</v>
      </c>
    </row>
    <row r="158" spans="11:13" x14ac:dyDescent="0.35">
      <c r="K158" t="s">
        <v>459</v>
      </c>
      <c r="L158" t="s">
        <v>460</v>
      </c>
      <c r="M158" s="70">
        <v>12650.000000000002</v>
      </c>
    </row>
    <row r="159" spans="11:13" x14ac:dyDescent="0.35">
      <c r="K159" t="s">
        <v>461</v>
      </c>
      <c r="L159" t="s">
        <v>462</v>
      </c>
      <c r="M159" s="70">
        <v>12650.000000000002</v>
      </c>
    </row>
    <row r="160" spans="11:13" x14ac:dyDescent="0.35">
      <c r="K160" t="s">
        <v>463</v>
      </c>
      <c r="L160" t="s">
        <v>464</v>
      </c>
      <c r="M160" s="70">
        <v>11550.000000000002</v>
      </c>
    </row>
    <row r="161" spans="11:13" x14ac:dyDescent="0.35">
      <c r="K161" t="s">
        <v>465</v>
      </c>
      <c r="L161" t="s">
        <v>466</v>
      </c>
      <c r="M161" s="70">
        <v>18375</v>
      </c>
    </row>
    <row r="162" spans="11:13" x14ac:dyDescent="0.35">
      <c r="K162" t="s">
        <v>467</v>
      </c>
      <c r="L162" t="s">
        <v>468</v>
      </c>
      <c r="M162" s="70">
        <v>11550.000000000002</v>
      </c>
    </row>
    <row r="163" spans="11:13" x14ac:dyDescent="0.35">
      <c r="K163" t="s">
        <v>469</v>
      </c>
      <c r="L163" t="s">
        <v>470</v>
      </c>
      <c r="M163" s="70">
        <v>10890</v>
      </c>
    </row>
    <row r="164" spans="11:13" x14ac:dyDescent="0.35">
      <c r="K164" t="s">
        <v>471</v>
      </c>
      <c r="L164" t="s">
        <v>472</v>
      </c>
      <c r="M164" s="70">
        <v>10890</v>
      </c>
    </row>
    <row r="165" spans="11:13" x14ac:dyDescent="0.35">
      <c r="K165" t="s">
        <v>473</v>
      </c>
      <c r="L165" t="s">
        <v>474</v>
      </c>
      <c r="M165" s="70">
        <v>15370</v>
      </c>
    </row>
    <row r="166" spans="11:13" x14ac:dyDescent="0.35">
      <c r="K166" t="s">
        <v>475</v>
      </c>
      <c r="L166" t="s">
        <v>476</v>
      </c>
      <c r="M166" s="70">
        <v>10890</v>
      </c>
    </row>
    <row r="167" spans="11:13" x14ac:dyDescent="0.35">
      <c r="K167" t="s">
        <v>477</v>
      </c>
      <c r="L167" t="s">
        <v>478</v>
      </c>
      <c r="M167" s="70">
        <v>14580.000000000002</v>
      </c>
    </row>
    <row r="168" spans="11:13" x14ac:dyDescent="0.35">
      <c r="K168" t="s">
        <v>479</v>
      </c>
      <c r="L168" t="s">
        <v>480</v>
      </c>
      <c r="M168" s="70">
        <v>14580.000000000002</v>
      </c>
    </row>
    <row r="169" spans="11:13" x14ac:dyDescent="0.35">
      <c r="K169" t="s">
        <v>481</v>
      </c>
      <c r="L169" t="s">
        <v>482</v>
      </c>
      <c r="M169" s="70">
        <v>18375</v>
      </c>
    </row>
    <row r="170" spans="11:13" x14ac:dyDescent="0.35">
      <c r="K170" t="s">
        <v>483</v>
      </c>
      <c r="L170" t="s">
        <v>484</v>
      </c>
      <c r="M170" s="70">
        <v>10890</v>
      </c>
    </row>
    <row r="171" spans="11:13" x14ac:dyDescent="0.35">
      <c r="K171" t="s">
        <v>485</v>
      </c>
      <c r="L171" t="s">
        <v>486</v>
      </c>
      <c r="M171" s="70">
        <v>15370</v>
      </c>
    </row>
    <row r="172" spans="11:13" x14ac:dyDescent="0.35">
      <c r="K172" t="s">
        <v>487</v>
      </c>
      <c r="L172" t="s">
        <v>488</v>
      </c>
      <c r="M172" s="70">
        <v>10890</v>
      </c>
    </row>
    <row r="173" spans="11:13" x14ac:dyDescent="0.35">
      <c r="K173" t="s">
        <v>489</v>
      </c>
      <c r="L173" t="s">
        <v>490</v>
      </c>
      <c r="M173" s="70">
        <v>10890</v>
      </c>
    </row>
    <row r="174" spans="11:13" x14ac:dyDescent="0.35">
      <c r="K174" t="s">
        <v>491</v>
      </c>
      <c r="L174" t="s">
        <v>492</v>
      </c>
      <c r="M174" s="70">
        <v>12650.000000000002</v>
      </c>
    </row>
    <row r="175" spans="11:13" x14ac:dyDescent="0.35">
      <c r="K175" t="s">
        <v>493</v>
      </c>
      <c r="L175" t="s">
        <v>494</v>
      </c>
      <c r="M175" s="70">
        <v>10890</v>
      </c>
    </row>
    <row r="176" spans="11:13" x14ac:dyDescent="0.35">
      <c r="K176" t="s">
        <v>495</v>
      </c>
      <c r="L176" t="s">
        <v>496</v>
      </c>
      <c r="M176" s="70">
        <v>10890</v>
      </c>
    </row>
    <row r="177" spans="11:13" x14ac:dyDescent="0.35">
      <c r="K177" t="s">
        <v>497</v>
      </c>
      <c r="L177" t="s">
        <v>498</v>
      </c>
      <c r="M177" s="70">
        <v>16430</v>
      </c>
    </row>
    <row r="178" spans="11:13" x14ac:dyDescent="0.35">
      <c r="K178" t="s">
        <v>499</v>
      </c>
      <c r="L178" t="s">
        <v>500</v>
      </c>
      <c r="M178" s="70">
        <v>13750</v>
      </c>
    </row>
    <row r="179" spans="11:13" x14ac:dyDescent="0.35">
      <c r="K179" t="s">
        <v>501</v>
      </c>
      <c r="L179" t="s">
        <v>502</v>
      </c>
      <c r="M179" s="70">
        <v>16430</v>
      </c>
    </row>
    <row r="180" spans="11:13" x14ac:dyDescent="0.35">
      <c r="K180" t="s">
        <v>503</v>
      </c>
      <c r="L180" t="s">
        <v>504</v>
      </c>
      <c r="M180" s="70">
        <v>12650.000000000002</v>
      </c>
    </row>
    <row r="181" spans="11:13" x14ac:dyDescent="0.35">
      <c r="K181" t="s">
        <v>505</v>
      </c>
      <c r="L181" t="s">
        <v>506</v>
      </c>
      <c r="M181" s="70">
        <v>12650.000000000002</v>
      </c>
    </row>
    <row r="182" spans="11:13" x14ac:dyDescent="0.35">
      <c r="K182" t="s">
        <v>507</v>
      </c>
      <c r="L182" t="s">
        <v>508</v>
      </c>
      <c r="M182" s="70">
        <v>11550.000000000002</v>
      </c>
    </row>
    <row r="183" spans="11:13" x14ac:dyDescent="0.35">
      <c r="K183" t="s">
        <v>509</v>
      </c>
      <c r="L183" t="s">
        <v>510</v>
      </c>
      <c r="M183" s="70">
        <v>10890</v>
      </c>
    </row>
    <row r="184" spans="11:13" x14ac:dyDescent="0.35">
      <c r="K184" t="s">
        <v>511</v>
      </c>
      <c r="L184" t="s">
        <v>512</v>
      </c>
      <c r="M184" s="70">
        <v>12650.000000000002</v>
      </c>
    </row>
    <row r="185" spans="11:13" x14ac:dyDescent="0.35">
      <c r="K185" t="s">
        <v>513</v>
      </c>
      <c r="L185" t="s">
        <v>514</v>
      </c>
      <c r="M185" s="70">
        <v>10890</v>
      </c>
    </row>
    <row r="186" spans="11:13" x14ac:dyDescent="0.35">
      <c r="K186" t="s">
        <v>515</v>
      </c>
      <c r="L186" t="s">
        <v>516</v>
      </c>
      <c r="M186" s="70">
        <v>10890</v>
      </c>
    </row>
    <row r="187" spans="11:13" x14ac:dyDescent="0.35">
      <c r="K187" t="s">
        <v>517</v>
      </c>
      <c r="L187" t="s">
        <v>518</v>
      </c>
      <c r="M187" s="70">
        <v>14580.000000000002</v>
      </c>
    </row>
    <row r="188" spans="11:13" x14ac:dyDescent="0.35">
      <c r="K188" t="s">
        <v>519</v>
      </c>
      <c r="L188" t="s">
        <v>520</v>
      </c>
      <c r="M188" s="70">
        <v>10890</v>
      </c>
    </row>
    <row r="189" spans="11:13" x14ac:dyDescent="0.35">
      <c r="K189" t="s">
        <v>521</v>
      </c>
      <c r="L189" t="s">
        <v>522</v>
      </c>
      <c r="M189" s="70">
        <v>10890</v>
      </c>
    </row>
    <row r="190" spans="11:13" x14ac:dyDescent="0.35">
      <c r="K190" t="s">
        <v>523</v>
      </c>
      <c r="L190" t="s">
        <v>524</v>
      </c>
      <c r="M190" s="70">
        <v>14580.000000000002</v>
      </c>
    </row>
    <row r="191" spans="11:13" x14ac:dyDescent="0.35">
      <c r="K191" t="s">
        <v>525</v>
      </c>
      <c r="L191" t="s">
        <v>526</v>
      </c>
      <c r="M191" s="70">
        <v>10890</v>
      </c>
    </row>
    <row r="192" spans="11:13" x14ac:dyDescent="0.35">
      <c r="K192" t="s">
        <v>527</v>
      </c>
      <c r="L192" t="s">
        <v>528</v>
      </c>
      <c r="M192" s="70">
        <v>15370</v>
      </c>
    </row>
    <row r="193" spans="11:13" x14ac:dyDescent="0.35">
      <c r="K193" t="s">
        <v>529</v>
      </c>
      <c r="L193" t="s">
        <v>530</v>
      </c>
      <c r="M193" s="70">
        <v>14580.000000000002</v>
      </c>
    </row>
    <row r="194" spans="11:13" x14ac:dyDescent="0.35">
      <c r="K194" t="s">
        <v>531</v>
      </c>
      <c r="L194" t="s">
        <v>532</v>
      </c>
      <c r="M194" s="70">
        <v>10890</v>
      </c>
    </row>
    <row r="195" spans="11:13" x14ac:dyDescent="0.35">
      <c r="K195" t="s">
        <v>533</v>
      </c>
      <c r="L195" t="s">
        <v>534</v>
      </c>
      <c r="M195" s="70">
        <v>10890</v>
      </c>
    </row>
    <row r="196" spans="11:13" x14ac:dyDescent="0.35">
      <c r="K196" t="s">
        <v>535</v>
      </c>
      <c r="L196" t="s">
        <v>536</v>
      </c>
      <c r="M196" s="70">
        <v>15370</v>
      </c>
    </row>
    <row r="197" spans="11:13" x14ac:dyDescent="0.35">
      <c r="K197" t="s">
        <v>537</v>
      </c>
      <c r="L197" t="s">
        <v>538</v>
      </c>
      <c r="M197" s="70">
        <v>17325</v>
      </c>
    </row>
    <row r="198" spans="11:13" x14ac:dyDescent="0.35">
      <c r="K198" t="s">
        <v>539</v>
      </c>
      <c r="L198" t="s">
        <v>540</v>
      </c>
      <c r="M198" s="70">
        <v>15370</v>
      </c>
    </row>
    <row r="199" spans="11:13" x14ac:dyDescent="0.35">
      <c r="K199" t="s">
        <v>541</v>
      </c>
      <c r="L199" t="s">
        <v>542</v>
      </c>
      <c r="M199" s="70">
        <v>10890</v>
      </c>
    </row>
    <row r="200" spans="11:13" x14ac:dyDescent="0.35">
      <c r="K200" t="s">
        <v>543</v>
      </c>
      <c r="L200" t="s">
        <v>544</v>
      </c>
      <c r="M200" s="70">
        <v>10890</v>
      </c>
    </row>
    <row r="201" spans="11:13" x14ac:dyDescent="0.35">
      <c r="K201" t="s">
        <v>545</v>
      </c>
      <c r="L201" t="s">
        <v>546</v>
      </c>
      <c r="M201" s="70">
        <v>10890</v>
      </c>
    </row>
    <row r="202" spans="11:13" x14ac:dyDescent="0.35">
      <c r="K202" t="s">
        <v>547</v>
      </c>
      <c r="L202" t="s">
        <v>548</v>
      </c>
      <c r="M202" s="70">
        <v>15370</v>
      </c>
    </row>
    <row r="203" spans="11:13" x14ac:dyDescent="0.35">
      <c r="K203" t="s">
        <v>549</v>
      </c>
      <c r="L203" t="s">
        <v>550</v>
      </c>
      <c r="M203" s="70">
        <v>16430</v>
      </c>
    </row>
    <row r="204" spans="11:13" x14ac:dyDescent="0.35">
      <c r="K204" t="s">
        <v>551</v>
      </c>
      <c r="L204" t="s">
        <v>552</v>
      </c>
      <c r="M204" s="70">
        <v>10890</v>
      </c>
    </row>
    <row r="205" spans="11:13" x14ac:dyDescent="0.35">
      <c r="K205" t="s">
        <v>553</v>
      </c>
      <c r="L205" t="s">
        <v>554</v>
      </c>
      <c r="M205" s="70">
        <v>12650.000000000002</v>
      </c>
    </row>
    <row r="206" spans="11:13" x14ac:dyDescent="0.35">
      <c r="K206" t="s">
        <v>555</v>
      </c>
      <c r="L206" t="s">
        <v>556</v>
      </c>
      <c r="M206" s="70">
        <v>14580.000000000002</v>
      </c>
    </row>
    <row r="207" spans="11:13" x14ac:dyDescent="0.35">
      <c r="K207" t="s">
        <v>557</v>
      </c>
      <c r="L207" t="s">
        <v>558</v>
      </c>
      <c r="M207" s="70">
        <v>10890</v>
      </c>
    </row>
    <row r="208" spans="11:13" x14ac:dyDescent="0.35">
      <c r="K208" t="s">
        <v>559</v>
      </c>
      <c r="L208" t="s">
        <v>560</v>
      </c>
      <c r="M208" s="70">
        <v>15370</v>
      </c>
    </row>
    <row r="209" spans="11:13" x14ac:dyDescent="0.35">
      <c r="K209" t="s">
        <v>561</v>
      </c>
      <c r="L209" t="s">
        <v>562</v>
      </c>
      <c r="M209" s="70">
        <v>15370</v>
      </c>
    </row>
    <row r="210" spans="11:13" x14ac:dyDescent="0.35">
      <c r="K210" t="s">
        <v>563</v>
      </c>
      <c r="L210" t="s">
        <v>564</v>
      </c>
      <c r="M210" s="70">
        <v>11550.000000000002</v>
      </c>
    </row>
    <row r="211" spans="11:13" x14ac:dyDescent="0.35">
      <c r="K211" t="s">
        <v>565</v>
      </c>
      <c r="L211" t="s">
        <v>566</v>
      </c>
      <c r="M211" s="70">
        <v>16430</v>
      </c>
    </row>
    <row r="212" spans="11:13" x14ac:dyDescent="0.35">
      <c r="K212" t="s">
        <v>567</v>
      </c>
      <c r="L212" t="s">
        <v>568</v>
      </c>
      <c r="M212" s="70">
        <v>10890</v>
      </c>
    </row>
    <row r="213" spans="11:13" x14ac:dyDescent="0.35">
      <c r="K213" t="s">
        <v>569</v>
      </c>
      <c r="L213" t="s">
        <v>570</v>
      </c>
      <c r="M213" s="70">
        <v>10890</v>
      </c>
    </row>
    <row r="214" spans="11:13" x14ac:dyDescent="0.35">
      <c r="K214" t="s">
        <v>571</v>
      </c>
      <c r="L214" t="s">
        <v>572</v>
      </c>
      <c r="M214" s="70">
        <v>15370</v>
      </c>
    </row>
    <row r="215" spans="11:13" x14ac:dyDescent="0.35">
      <c r="K215" t="s">
        <v>573</v>
      </c>
      <c r="L215" t="s">
        <v>574</v>
      </c>
      <c r="M215" s="70">
        <v>14580.000000000002</v>
      </c>
    </row>
    <row r="216" spans="11:13" x14ac:dyDescent="0.35">
      <c r="K216" t="s">
        <v>575</v>
      </c>
      <c r="L216" t="s">
        <v>576</v>
      </c>
      <c r="M216" s="70">
        <v>12650.000000000002</v>
      </c>
    </row>
    <row r="217" spans="11:13" x14ac:dyDescent="0.35">
      <c r="K217" t="s">
        <v>577</v>
      </c>
      <c r="L217" t="s">
        <v>578</v>
      </c>
      <c r="M217" s="70">
        <v>10890</v>
      </c>
    </row>
    <row r="218" spans="11:13" x14ac:dyDescent="0.35">
      <c r="K218" t="s">
        <v>579</v>
      </c>
      <c r="L218" t="s">
        <v>580</v>
      </c>
      <c r="M218" s="70">
        <v>14580.000000000002</v>
      </c>
    </row>
    <row r="219" spans="11:13" x14ac:dyDescent="0.35">
      <c r="K219" t="s">
        <v>581</v>
      </c>
      <c r="L219" t="s">
        <v>582</v>
      </c>
      <c r="M219" s="70">
        <v>10890</v>
      </c>
    </row>
    <row r="220" spans="11:13" x14ac:dyDescent="0.35">
      <c r="K220" t="s">
        <v>583</v>
      </c>
      <c r="L220" t="s">
        <v>584</v>
      </c>
      <c r="M220" s="70">
        <v>10890</v>
      </c>
    </row>
    <row r="221" spans="11:13" x14ac:dyDescent="0.35">
      <c r="K221" t="s">
        <v>585</v>
      </c>
      <c r="L221" t="s">
        <v>586</v>
      </c>
      <c r="M221" s="70">
        <v>14580.000000000002</v>
      </c>
    </row>
    <row r="222" spans="11:13" x14ac:dyDescent="0.35">
      <c r="K222" t="s">
        <v>587</v>
      </c>
      <c r="L222" t="s">
        <v>588</v>
      </c>
      <c r="M222" s="70">
        <v>10890</v>
      </c>
    </row>
    <row r="223" spans="11:13" x14ac:dyDescent="0.35">
      <c r="K223" t="s">
        <v>589</v>
      </c>
      <c r="L223" t="s">
        <v>590</v>
      </c>
      <c r="M223" s="70">
        <v>10890</v>
      </c>
    </row>
    <row r="224" spans="11:13" x14ac:dyDescent="0.35">
      <c r="K224" t="s">
        <v>591</v>
      </c>
      <c r="L224" t="s">
        <v>592</v>
      </c>
      <c r="M224" s="70">
        <v>10890</v>
      </c>
    </row>
    <row r="225" spans="11:13" x14ac:dyDescent="0.35">
      <c r="K225" t="s">
        <v>593</v>
      </c>
      <c r="L225" t="s">
        <v>594</v>
      </c>
      <c r="M225" s="70">
        <v>17325</v>
      </c>
    </row>
    <row r="226" spans="11:13" x14ac:dyDescent="0.35">
      <c r="K226" t="s">
        <v>595</v>
      </c>
      <c r="L226" t="s">
        <v>596</v>
      </c>
      <c r="M226" s="70">
        <v>10890</v>
      </c>
    </row>
    <row r="227" spans="11:13" x14ac:dyDescent="0.35">
      <c r="K227" t="s">
        <v>597</v>
      </c>
      <c r="L227" t="s">
        <v>598</v>
      </c>
      <c r="M227" s="70">
        <v>10890</v>
      </c>
    </row>
    <row r="228" spans="11:13" x14ac:dyDescent="0.35">
      <c r="K228" t="s">
        <v>599</v>
      </c>
      <c r="L228" t="s">
        <v>600</v>
      </c>
      <c r="M228" s="70">
        <v>15370</v>
      </c>
    </row>
    <row r="229" spans="11:13" x14ac:dyDescent="0.35">
      <c r="K229" t="s">
        <v>601</v>
      </c>
      <c r="L229" t="s">
        <v>602</v>
      </c>
      <c r="M229" s="70">
        <v>10890</v>
      </c>
    </row>
    <row r="230" spans="11:13" x14ac:dyDescent="0.35">
      <c r="K230" t="s">
        <v>603</v>
      </c>
      <c r="L230" t="s">
        <v>604</v>
      </c>
      <c r="M230" s="70">
        <v>11550.000000000002</v>
      </c>
    </row>
    <row r="231" spans="11:13" x14ac:dyDescent="0.35">
      <c r="K231" t="s">
        <v>605</v>
      </c>
      <c r="L231" t="s">
        <v>606</v>
      </c>
      <c r="M231" s="70">
        <v>12650.000000000002</v>
      </c>
    </row>
    <row r="232" spans="11:13" x14ac:dyDescent="0.35">
      <c r="K232" t="s">
        <v>607</v>
      </c>
      <c r="L232" t="s">
        <v>608</v>
      </c>
      <c r="M232" s="70">
        <v>16430</v>
      </c>
    </row>
    <row r="233" spans="11:13" x14ac:dyDescent="0.35">
      <c r="K233" t="s">
        <v>609</v>
      </c>
      <c r="L233" t="s">
        <v>610</v>
      </c>
      <c r="M233" s="70">
        <v>14580.000000000002</v>
      </c>
    </row>
    <row r="234" spans="11:13" x14ac:dyDescent="0.35">
      <c r="K234" t="s">
        <v>611</v>
      </c>
      <c r="L234" t="s">
        <v>612</v>
      </c>
      <c r="M234" s="70">
        <v>10890</v>
      </c>
    </row>
    <row r="235" spans="11:13" x14ac:dyDescent="0.35">
      <c r="K235" t="s">
        <v>613</v>
      </c>
      <c r="L235" t="s">
        <v>614</v>
      </c>
      <c r="M235" s="70">
        <v>14580.000000000002</v>
      </c>
    </row>
    <row r="236" spans="11:13" x14ac:dyDescent="0.35">
      <c r="K236" t="s">
        <v>615</v>
      </c>
      <c r="L236" t="s">
        <v>616</v>
      </c>
      <c r="M236" s="70">
        <v>17325</v>
      </c>
    </row>
    <row r="237" spans="11:13" x14ac:dyDescent="0.35">
      <c r="K237" t="s">
        <v>617</v>
      </c>
      <c r="L237" t="s">
        <v>618</v>
      </c>
      <c r="M237" s="70">
        <v>12650.000000000002</v>
      </c>
    </row>
    <row r="238" spans="11:13" x14ac:dyDescent="0.35">
      <c r="K238" t="s">
        <v>619</v>
      </c>
      <c r="L238" t="s">
        <v>620</v>
      </c>
      <c r="M238" s="70">
        <v>14580.000000000002</v>
      </c>
    </row>
    <row r="239" spans="11:13" x14ac:dyDescent="0.35">
      <c r="K239" t="s">
        <v>621</v>
      </c>
      <c r="L239" t="s">
        <v>622</v>
      </c>
      <c r="M239" s="70">
        <v>14580.000000000002</v>
      </c>
    </row>
    <row r="240" spans="11:13" x14ac:dyDescent="0.35">
      <c r="K240" t="s">
        <v>623</v>
      </c>
      <c r="L240" t="s">
        <v>624</v>
      </c>
      <c r="M240" s="70">
        <v>14580.000000000002</v>
      </c>
    </row>
    <row r="241" spans="11:13" x14ac:dyDescent="0.35">
      <c r="K241" t="s">
        <v>625</v>
      </c>
      <c r="L241" t="s">
        <v>626</v>
      </c>
      <c r="M241" s="70">
        <v>10890</v>
      </c>
    </row>
    <row r="242" spans="11:13" x14ac:dyDescent="0.35">
      <c r="K242" t="s">
        <v>627</v>
      </c>
      <c r="L242" t="s">
        <v>628</v>
      </c>
      <c r="M242" s="70">
        <v>14580.000000000002</v>
      </c>
    </row>
    <row r="243" spans="11:13" x14ac:dyDescent="0.35">
      <c r="K243" t="s">
        <v>629</v>
      </c>
      <c r="L243" t="s">
        <v>630</v>
      </c>
      <c r="M243" s="70">
        <v>16430</v>
      </c>
    </row>
    <row r="244" spans="11:13" x14ac:dyDescent="0.35">
      <c r="K244" t="s">
        <v>631</v>
      </c>
      <c r="L244" t="s">
        <v>632</v>
      </c>
      <c r="M244" s="70">
        <v>10890</v>
      </c>
    </row>
    <row r="245" spans="11:13" x14ac:dyDescent="0.35">
      <c r="K245" t="s">
        <v>633</v>
      </c>
      <c r="L245" t="s">
        <v>634</v>
      </c>
      <c r="M245" s="70">
        <v>12650.000000000002</v>
      </c>
    </row>
    <row r="246" spans="11:13" x14ac:dyDescent="0.35">
      <c r="K246" t="s">
        <v>635</v>
      </c>
      <c r="L246" t="s">
        <v>636</v>
      </c>
      <c r="M246" s="70">
        <v>10890</v>
      </c>
    </row>
    <row r="247" spans="11:13" x14ac:dyDescent="0.35">
      <c r="K247" t="s">
        <v>637</v>
      </c>
      <c r="L247" t="s">
        <v>638</v>
      </c>
      <c r="M247" s="70">
        <v>10890</v>
      </c>
    </row>
    <row r="248" spans="11:13" x14ac:dyDescent="0.35">
      <c r="K248" t="s">
        <v>639</v>
      </c>
      <c r="L248" t="s">
        <v>640</v>
      </c>
      <c r="M248" s="70">
        <v>10890</v>
      </c>
    </row>
    <row r="249" spans="11:13" x14ac:dyDescent="0.35">
      <c r="K249" t="s">
        <v>641</v>
      </c>
      <c r="L249" t="s">
        <v>642</v>
      </c>
      <c r="M249" s="70">
        <v>14580.000000000002</v>
      </c>
    </row>
    <row r="250" spans="11:13" x14ac:dyDescent="0.35">
      <c r="K250" t="s">
        <v>643</v>
      </c>
      <c r="L250" t="s">
        <v>644</v>
      </c>
      <c r="M250" s="70">
        <v>11550.000000000002</v>
      </c>
    </row>
    <row r="251" spans="11:13" x14ac:dyDescent="0.35">
      <c r="K251" t="s">
        <v>645</v>
      </c>
      <c r="L251" t="s">
        <v>646</v>
      </c>
      <c r="M251" s="70">
        <v>10890</v>
      </c>
    </row>
    <row r="252" spans="11:13" x14ac:dyDescent="0.35">
      <c r="K252" t="s">
        <v>647</v>
      </c>
      <c r="L252" t="s">
        <v>648</v>
      </c>
      <c r="M252" s="70">
        <v>10890</v>
      </c>
    </row>
    <row r="253" spans="11:13" x14ac:dyDescent="0.35">
      <c r="K253" t="s">
        <v>924</v>
      </c>
      <c r="L253" t="s">
        <v>649</v>
      </c>
      <c r="M253" s="70">
        <v>15370</v>
      </c>
    </row>
    <row r="254" spans="11:13" x14ac:dyDescent="0.35">
      <c r="K254" t="s">
        <v>925</v>
      </c>
      <c r="L254" t="s">
        <v>650</v>
      </c>
      <c r="M254" s="70">
        <v>10890</v>
      </c>
    </row>
    <row r="255" spans="11:13" x14ac:dyDescent="0.35">
      <c r="K255" t="s">
        <v>651</v>
      </c>
      <c r="L255" t="s">
        <v>652</v>
      </c>
      <c r="M255" s="70">
        <v>12650.000000000002</v>
      </c>
    </row>
    <row r="256" spans="11:13" x14ac:dyDescent="0.35">
      <c r="K256" t="s">
        <v>653</v>
      </c>
      <c r="L256" t="s">
        <v>654</v>
      </c>
      <c r="M256" s="70">
        <v>16430</v>
      </c>
    </row>
    <row r="257" spans="11:13" x14ac:dyDescent="0.35">
      <c r="K257" t="s">
        <v>655</v>
      </c>
      <c r="L257" t="s">
        <v>656</v>
      </c>
      <c r="M257" s="70">
        <v>14580.000000000002</v>
      </c>
    </row>
    <row r="258" spans="11:13" x14ac:dyDescent="0.35">
      <c r="K258" t="s">
        <v>657</v>
      </c>
      <c r="L258" t="s">
        <v>658</v>
      </c>
      <c r="M258" s="70">
        <v>14580.000000000002</v>
      </c>
    </row>
    <row r="259" spans="11:13" x14ac:dyDescent="0.35">
      <c r="K259" t="s">
        <v>659</v>
      </c>
      <c r="L259" t="s">
        <v>660</v>
      </c>
      <c r="M259" s="70">
        <v>10890</v>
      </c>
    </row>
    <row r="260" spans="11:13" x14ac:dyDescent="0.35">
      <c r="K260" t="s">
        <v>661</v>
      </c>
      <c r="L260" t="s">
        <v>662</v>
      </c>
      <c r="M260" s="70">
        <v>10890</v>
      </c>
    </row>
    <row r="261" spans="11:13" x14ac:dyDescent="0.35">
      <c r="K261" t="s">
        <v>663</v>
      </c>
      <c r="L261" t="s">
        <v>664</v>
      </c>
      <c r="M261" s="70">
        <v>15370</v>
      </c>
    </row>
    <row r="262" spans="11:13" x14ac:dyDescent="0.35">
      <c r="K262" t="s">
        <v>665</v>
      </c>
      <c r="L262" t="s">
        <v>666</v>
      </c>
      <c r="M262" s="70">
        <v>10890</v>
      </c>
    </row>
    <row r="263" spans="11:13" x14ac:dyDescent="0.35">
      <c r="K263" t="s">
        <v>667</v>
      </c>
      <c r="L263" t="s">
        <v>668</v>
      </c>
      <c r="M263" s="70">
        <v>14580.000000000002</v>
      </c>
    </row>
    <row r="264" spans="11:13" x14ac:dyDescent="0.35">
      <c r="K264" t="s">
        <v>669</v>
      </c>
      <c r="L264" t="s">
        <v>670</v>
      </c>
      <c r="M264" s="70">
        <v>12650.000000000002</v>
      </c>
    </row>
    <row r="265" spans="11:13" x14ac:dyDescent="0.35">
      <c r="K265" t="s">
        <v>671</v>
      </c>
      <c r="L265" t="s">
        <v>672</v>
      </c>
      <c r="M265" s="70">
        <v>14580.000000000002</v>
      </c>
    </row>
    <row r="266" spans="11:13" x14ac:dyDescent="0.35">
      <c r="K266" t="s">
        <v>673</v>
      </c>
      <c r="L266" t="s">
        <v>674</v>
      </c>
      <c r="M266" s="70">
        <v>10890</v>
      </c>
    </row>
    <row r="267" spans="11:13" x14ac:dyDescent="0.35">
      <c r="K267" t="s">
        <v>675</v>
      </c>
      <c r="L267" t="s">
        <v>676</v>
      </c>
      <c r="M267" s="70">
        <v>14580.000000000002</v>
      </c>
    </row>
    <row r="268" spans="11:13" x14ac:dyDescent="0.35">
      <c r="K268" t="s">
        <v>677</v>
      </c>
      <c r="L268" t="s">
        <v>678</v>
      </c>
      <c r="M268" s="70">
        <v>12650.000000000002</v>
      </c>
    </row>
    <row r="269" spans="11:13" x14ac:dyDescent="0.35">
      <c r="K269" t="s">
        <v>679</v>
      </c>
      <c r="L269" t="s">
        <v>680</v>
      </c>
      <c r="M269" s="70">
        <v>10890</v>
      </c>
    </row>
    <row r="270" spans="11:13" x14ac:dyDescent="0.35">
      <c r="K270" t="s">
        <v>681</v>
      </c>
      <c r="L270" t="s">
        <v>682</v>
      </c>
      <c r="M270" s="70">
        <v>12650.000000000002</v>
      </c>
    </row>
    <row r="271" spans="11:13" x14ac:dyDescent="0.35">
      <c r="K271" t="s">
        <v>683</v>
      </c>
      <c r="L271" t="s">
        <v>684</v>
      </c>
      <c r="M271" s="70">
        <v>10890</v>
      </c>
    </row>
    <row r="272" spans="11:13" x14ac:dyDescent="0.35">
      <c r="K272" t="s">
        <v>685</v>
      </c>
      <c r="L272" t="s">
        <v>686</v>
      </c>
      <c r="M272" s="70">
        <v>10890</v>
      </c>
    </row>
    <row r="273" spans="11:13" x14ac:dyDescent="0.35">
      <c r="K273" t="s">
        <v>687</v>
      </c>
      <c r="L273" t="s">
        <v>688</v>
      </c>
      <c r="M273" s="70">
        <v>14580.000000000002</v>
      </c>
    </row>
    <row r="274" spans="11:13" x14ac:dyDescent="0.35">
      <c r="K274" t="s">
        <v>689</v>
      </c>
      <c r="L274" t="s">
        <v>690</v>
      </c>
      <c r="M274" s="70">
        <v>10890</v>
      </c>
    </row>
    <row r="275" spans="11:13" x14ac:dyDescent="0.35">
      <c r="K275" t="s">
        <v>691</v>
      </c>
      <c r="L275" t="s">
        <v>692</v>
      </c>
      <c r="M275" s="70">
        <v>11550.000000000002</v>
      </c>
    </row>
    <row r="276" spans="11:13" x14ac:dyDescent="0.35">
      <c r="K276" t="s">
        <v>693</v>
      </c>
      <c r="L276" t="s">
        <v>694</v>
      </c>
      <c r="M276" s="70">
        <v>10890</v>
      </c>
    </row>
    <row r="277" spans="11:13" x14ac:dyDescent="0.35">
      <c r="K277" t="s">
        <v>695</v>
      </c>
      <c r="L277" t="s">
        <v>696</v>
      </c>
      <c r="M277" s="70">
        <v>12650.000000000002</v>
      </c>
    </row>
    <row r="278" spans="11:13" x14ac:dyDescent="0.35">
      <c r="K278" t="s">
        <v>697</v>
      </c>
      <c r="L278" t="s">
        <v>698</v>
      </c>
      <c r="M278" s="70">
        <v>16430</v>
      </c>
    </row>
    <row r="279" spans="11:13" x14ac:dyDescent="0.35">
      <c r="K279" t="s">
        <v>699</v>
      </c>
      <c r="L279" t="s">
        <v>700</v>
      </c>
      <c r="M279" s="70">
        <v>10890</v>
      </c>
    </row>
    <row r="280" spans="11:13" x14ac:dyDescent="0.35">
      <c r="K280" t="s">
        <v>701</v>
      </c>
      <c r="L280" t="s">
        <v>702</v>
      </c>
      <c r="M280" s="70">
        <v>10890</v>
      </c>
    </row>
    <row r="281" spans="11:13" x14ac:dyDescent="0.35">
      <c r="K281" t="s">
        <v>703</v>
      </c>
      <c r="L281" t="s">
        <v>704</v>
      </c>
      <c r="M281" s="70">
        <v>10890</v>
      </c>
    </row>
    <row r="282" spans="11:13" x14ac:dyDescent="0.35">
      <c r="K282" t="s">
        <v>705</v>
      </c>
      <c r="L282" t="s">
        <v>706</v>
      </c>
      <c r="M282" s="70">
        <v>11550.000000000002</v>
      </c>
    </row>
    <row r="283" spans="11:13" x14ac:dyDescent="0.35">
      <c r="K283" t="s">
        <v>707</v>
      </c>
      <c r="L283" t="s">
        <v>708</v>
      </c>
      <c r="M283" s="70">
        <v>10890</v>
      </c>
    </row>
    <row r="284" spans="11:13" x14ac:dyDescent="0.35">
      <c r="K284" t="s">
        <v>709</v>
      </c>
      <c r="L284" t="s">
        <v>710</v>
      </c>
      <c r="M284" s="70">
        <v>10890</v>
      </c>
    </row>
    <row r="285" spans="11:13" x14ac:dyDescent="0.35">
      <c r="K285" t="s">
        <v>711</v>
      </c>
      <c r="L285" t="s">
        <v>712</v>
      </c>
      <c r="M285" s="70">
        <v>10890</v>
      </c>
    </row>
    <row r="286" spans="11:13" x14ac:dyDescent="0.35">
      <c r="K286" t="s">
        <v>713</v>
      </c>
      <c r="L286" t="s">
        <v>714</v>
      </c>
      <c r="M286" s="70">
        <v>10890</v>
      </c>
    </row>
    <row r="287" spans="11:13" x14ac:dyDescent="0.35">
      <c r="K287" t="s">
        <v>715</v>
      </c>
      <c r="L287" t="s">
        <v>716</v>
      </c>
      <c r="M287" s="70">
        <v>10890</v>
      </c>
    </row>
    <row r="288" spans="11:13" x14ac:dyDescent="0.35">
      <c r="K288" t="s">
        <v>717</v>
      </c>
      <c r="L288" t="s">
        <v>718</v>
      </c>
      <c r="M288" s="70">
        <v>10890</v>
      </c>
    </row>
    <row r="289" spans="11:13" x14ac:dyDescent="0.35">
      <c r="K289" t="s">
        <v>719</v>
      </c>
      <c r="L289" t="s">
        <v>720</v>
      </c>
      <c r="M289" s="70">
        <v>12650.000000000002</v>
      </c>
    </row>
    <row r="290" spans="11:13" x14ac:dyDescent="0.35">
      <c r="K290" t="s">
        <v>721</v>
      </c>
      <c r="L290" t="s">
        <v>722</v>
      </c>
      <c r="M290" s="70">
        <v>11550.000000000002</v>
      </c>
    </row>
    <row r="291" spans="11:13" x14ac:dyDescent="0.35">
      <c r="K291" t="s">
        <v>723</v>
      </c>
      <c r="L291" t="s">
        <v>724</v>
      </c>
      <c r="M291" s="70">
        <v>10890</v>
      </c>
    </row>
    <row r="292" spans="11:13" x14ac:dyDescent="0.35">
      <c r="K292" t="s">
        <v>725</v>
      </c>
      <c r="L292" t="s">
        <v>726</v>
      </c>
      <c r="M292" s="70">
        <v>10890</v>
      </c>
    </row>
    <row r="293" spans="11:13" x14ac:dyDescent="0.35">
      <c r="K293" t="s">
        <v>727</v>
      </c>
      <c r="L293" t="s">
        <v>728</v>
      </c>
      <c r="M293" s="70">
        <v>15370</v>
      </c>
    </row>
    <row r="294" spans="11:13" x14ac:dyDescent="0.35">
      <c r="K294" t="s">
        <v>729</v>
      </c>
      <c r="L294" t="s">
        <v>730</v>
      </c>
      <c r="M294" s="70">
        <v>16430</v>
      </c>
    </row>
    <row r="295" spans="11:13" x14ac:dyDescent="0.35">
      <c r="K295" t="s">
        <v>731</v>
      </c>
      <c r="L295" t="s">
        <v>732</v>
      </c>
      <c r="M295" s="70">
        <v>11550.000000000002</v>
      </c>
    </row>
    <row r="296" spans="11:13" x14ac:dyDescent="0.35">
      <c r="K296" t="s">
        <v>733</v>
      </c>
      <c r="L296" t="s">
        <v>734</v>
      </c>
      <c r="M296" s="70">
        <v>10890</v>
      </c>
    </row>
    <row r="297" spans="11:13" x14ac:dyDescent="0.35">
      <c r="K297" t="s">
        <v>735</v>
      </c>
      <c r="L297" t="s">
        <v>736</v>
      </c>
      <c r="M297" s="70">
        <v>14580.000000000002</v>
      </c>
    </row>
    <row r="298" spans="11:13" x14ac:dyDescent="0.35">
      <c r="K298" t="s">
        <v>737</v>
      </c>
      <c r="L298" t="s">
        <v>738</v>
      </c>
      <c r="M298" s="70">
        <v>10890</v>
      </c>
    </row>
    <row r="299" spans="11:13" x14ac:dyDescent="0.35">
      <c r="K299" t="s">
        <v>739</v>
      </c>
      <c r="L299" t="s">
        <v>740</v>
      </c>
      <c r="M299" s="70">
        <v>11550.000000000002</v>
      </c>
    </row>
    <row r="300" spans="11:13" x14ac:dyDescent="0.35">
      <c r="K300" t="s">
        <v>741</v>
      </c>
      <c r="L300" t="s">
        <v>742</v>
      </c>
      <c r="M300" s="70">
        <v>11550.000000000002</v>
      </c>
    </row>
    <row r="301" spans="11:13" x14ac:dyDescent="0.35">
      <c r="K301" t="s">
        <v>743</v>
      </c>
      <c r="L301" t="s">
        <v>744</v>
      </c>
      <c r="M301" s="70">
        <v>10890</v>
      </c>
    </row>
    <row r="302" spans="11:13" x14ac:dyDescent="0.35">
      <c r="K302" t="s">
        <v>745</v>
      </c>
      <c r="L302" t="s">
        <v>746</v>
      </c>
      <c r="M302" s="70">
        <v>10890</v>
      </c>
    </row>
    <row r="303" spans="11:13" x14ac:dyDescent="0.35">
      <c r="K303" t="s">
        <v>747</v>
      </c>
      <c r="L303" t="s">
        <v>748</v>
      </c>
      <c r="M303" s="70">
        <v>11550.000000000002</v>
      </c>
    </row>
    <row r="304" spans="11:13" x14ac:dyDescent="0.35">
      <c r="K304" t="s">
        <v>749</v>
      </c>
      <c r="L304" t="s">
        <v>750</v>
      </c>
      <c r="M304" s="70">
        <v>10890</v>
      </c>
    </row>
    <row r="305" spans="11:13" x14ac:dyDescent="0.35">
      <c r="K305" t="s">
        <v>751</v>
      </c>
      <c r="L305" t="s">
        <v>752</v>
      </c>
      <c r="M305" s="70">
        <v>10890</v>
      </c>
    </row>
    <row r="306" spans="11:13" x14ac:dyDescent="0.35">
      <c r="K306" t="s">
        <v>753</v>
      </c>
      <c r="L306" t="s">
        <v>754</v>
      </c>
      <c r="M306" s="70">
        <v>17325</v>
      </c>
    </row>
    <row r="307" spans="11:13" x14ac:dyDescent="0.35">
      <c r="K307" t="s">
        <v>755</v>
      </c>
      <c r="L307" t="s">
        <v>756</v>
      </c>
      <c r="M307" s="70">
        <v>10890</v>
      </c>
    </row>
    <row r="308" spans="11:13" x14ac:dyDescent="0.35">
      <c r="K308" t="s">
        <v>757</v>
      </c>
      <c r="L308" t="s">
        <v>758</v>
      </c>
      <c r="M308" s="70">
        <v>14580.000000000002</v>
      </c>
    </row>
    <row r="309" spans="11:13" x14ac:dyDescent="0.35">
      <c r="K309" t="s">
        <v>759</v>
      </c>
      <c r="L309" t="s">
        <v>760</v>
      </c>
      <c r="M309" s="70">
        <v>10890</v>
      </c>
    </row>
    <row r="310" spans="11:13" x14ac:dyDescent="0.35">
      <c r="K310" t="s">
        <v>761</v>
      </c>
      <c r="L310" t="s">
        <v>762</v>
      </c>
      <c r="M310" s="70">
        <v>10890</v>
      </c>
    </row>
    <row r="311" spans="11:13" x14ac:dyDescent="0.35">
      <c r="K311" t="s">
        <v>763</v>
      </c>
      <c r="L311" t="s">
        <v>764</v>
      </c>
      <c r="M311" s="70">
        <v>12650.000000000002</v>
      </c>
    </row>
    <row r="312" spans="11:13" x14ac:dyDescent="0.35">
      <c r="K312" t="s">
        <v>765</v>
      </c>
      <c r="L312" t="s">
        <v>766</v>
      </c>
      <c r="M312" s="70">
        <v>10890</v>
      </c>
    </row>
    <row r="313" spans="11:13" x14ac:dyDescent="0.35">
      <c r="K313" t="s">
        <v>767</v>
      </c>
      <c r="L313" t="s">
        <v>768</v>
      </c>
      <c r="M313" s="70">
        <v>10890</v>
      </c>
    </row>
    <row r="314" spans="11:13" x14ac:dyDescent="0.35">
      <c r="K314" t="s">
        <v>769</v>
      </c>
      <c r="L314" t="s">
        <v>770</v>
      </c>
      <c r="M314" s="70">
        <v>10890</v>
      </c>
    </row>
    <row r="315" spans="11:13" x14ac:dyDescent="0.35">
      <c r="K315" t="s">
        <v>771</v>
      </c>
      <c r="L315" t="s">
        <v>772</v>
      </c>
      <c r="M315" s="70">
        <v>12650.000000000002</v>
      </c>
    </row>
    <row r="316" spans="11:13" x14ac:dyDescent="0.35">
      <c r="K316" t="s">
        <v>773</v>
      </c>
      <c r="L316" t="s">
        <v>774</v>
      </c>
      <c r="M316" s="70">
        <v>11550.000000000002</v>
      </c>
    </row>
    <row r="317" spans="11:13" x14ac:dyDescent="0.35">
      <c r="K317" t="s">
        <v>775</v>
      </c>
      <c r="L317" t="s">
        <v>776</v>
      </c>
      <c r="M317" s="70">
        <v>10890</v>
      </c>
    </row>
    <row r="318" spans="11:13" x14ac:dyDescent="0.35">
      <c r="K318" t="s">
        <v>777</v>
      </c>
      <c r="L318" t="s">
        <v>778</v>
      </c>
      <c r="M318" s="70">
        <v>10890</v>
      </c>
    </row>
    <row r="319" spans="11:13" x14ac:dyDescent="0.35">
      <c r="K319" t="s">
        <v>779</v>
      </c>
      <c r="L319" t="s">
        <v>780</v>
      </c>
      <c r="M319" s="70">
        <v>10890</v>
      </c>
    </row>
    <row r="320" spans="11:13" x14ac:dyDescent="0.35">
      <c r="K320" t="s">
        <v>781</v>
      </c>
      <c r="L320" t="s">
        <v>782</v>
      </c>
      <c r="M320" s="70">
        <v>16430</v>
      </c>
    </row>
    <row r="321" spans="11:13" x14ac:dyDescent="0.35">
      <c r="K321" t="s">
        <v>783</v>
      </c>
      <c r="L321" t="s">
        <v>784</v>
      </c>
      <c r="M321" s="70">
        <v>14580.000000000002</v>
      </c>
    </row>
    <row r="322" spans="11:13" x14ac:dyDescent="0.35">
      <c r="K322" t="s">
        <v>785</v>
      </c>
      <c r="L322" t="s">
        <v>786</v>
      </c>
      <c r="M322" s="70">
        <v>10890</v>
      </c>
    </row>
    <row r="323" spans="11:13" x14ac:dyDescent="0.35">
      <c r="K323" t="s">
        <v>787</v>
      </c>
      <c r="L323" t="s">
        <v>788</v>
      </c>
      <c r="M323" s="70">
        <v>11550.000000000002</v>
      </c>
    </row>
    <row r="324" spans="11:13" x14ac:dyDescent="0.35">
      <c r="K324" t="s">
        <v>789</v>
      </c>
      <c r="L324" t="s">
        <v>790</v>
      </c>
      <c r="M324" s="70">
        <v>10890</v>
      </c>
    </row>
    <row r="325" spans="11:13" x14ac:dyDescent="0.35">
      <c r="K325" t="s">
        <v>791</v>
      </c>
      <c r="L325" t="s">
        <v>792</v>
      </c>
      <c r="M325" s="70">
        <v>10890</v>
      </c>
    </row>
    <row r="326" spans="11:13" x14ac:dyDescent="0.35">
      <c r="K326" t="s">
        <v>793</v>
      </c>
      <c r="L326" t="s">
        <v>794</v>
      </c>
      <c r="M326" s="70">
        <v>12650.000000000002</v>
      </c>
    </row>
    <row r="327" spans="11:13" x14ac:dyDescent="0.35">
      <c r="K327" t="s">
        <v>795</v>
      </c>
      <c r="L327" t="s">
        <v>796</v>
      </c>
      <c r="M327" s="70">
        <v>16430</v>
      </c>
    </row>
    <row r="328" spans="11:13" x14ac:dyDescent="0.35">
      <c r="K328" t="s">
        <v>797</v>
      </c>
      <c r="L328" t="s">
        <v>798</v>
      </c>
      <c r="M328" s="70">
        <v>10890</v>
      </c>
    </row>
    <row r="329" spans="11:13" x14ac:dyDescent="0.35">
      <c r="K329" t="s">
        <v>799</v>
      </c>
      <c r="L329" t="s">
        <v>800</v>
      </c>
      <c r="M329" s="70">
        <v>14580.000000000002</v>
      </c>
    </row>
    <row r="330" spans="11:13" x14ac:dyDescent="0.35">
      <c r="K330" t="s">
        <v>801</v>
      </c>
      <c r="L330" t="s">
        <v>802</v>
      </c>
      <c r="M330" s="70">
        <v>10890</v>
      </c>
    </row>
    <row r="331" spans="11:13" x14ac:dyDescent="0.35">
      <c r="K331" t="s">
        <v>803</v>
      </c>
      <c r="L331" t="s">
        <v>804</v>
      </c>
      <c r="M331" s="70">
        <v>11550.000000000002</v>
      </c>
    </row>
    <row r="332" spans="11:13" x14ac:dyDescent="0.35">
      <c r="K332" t="s">
        <v>805</v>
      </c>
      <c r="L332" t="s">
        <v>806</v>
      </c>
      <c r="M332" s="70">
        <v>10890</v>
      </c>
    </row>
    <row r="333" spans="11:13" x14ac:dyDescent="0.35">
      <c r="K333" t="s">
        <v>807</v>
      </c>
      <c r="L333" t="s">
        <v>808</v>
      </c>
      <c r="M333" s="70">
        <v>16430</v>
      </c>
    </row>
    <row r="334" spans="11:13" x14ac:dyDescent="0.35">
      <c r="K334" t="s">
        <v>809</v>
      </c>
      <c r="L334" t="s">
        <v>810</v>
      </c>
      <c r="M334" s="70">
        <v>11550.000000000002</v>
      </c>
    </row>
    <row r="335" spans="11:13" x14ac:dyDescent="0.35">
      <c r="K335" t="s">
        <v>811</v>
      </c>
      <c r="L335" t="s">
        <v>812</v>
      </c>
      <c r="M335" s="70">
        <v>11550.000000000002</v>
      </c>
    </row>
    <row r="336" spans="11:13" x14ac:dyDescent="0.35">
      <c r="K336" t="s">
        <v>813</v>
      </c>
      <c r="L336" t="s">
        <v>814</v>
      </c>
      <c r="M336" s="70">
        <v>12650.000000000002</v>
      </c>
    </row>
    <row r="337" spans="11:13" x14ac:dyDescent="0.35">
      <c r="K337" t="s">
        <v>815</v>
      </c>
      <c r="L337" t="s">
        <v>816</v>
      </c>
      <c r="M337" s="70">
        <v>14580.000000000002</v>
      </c>
    </row>
    <row r="338" spans="11:13" x14ac:dyDescent="0.35">
      <c r="K338" t="s">
        <v>817</v>
      </c>
      <c r="L338" t="s">
        <v>818</v>
      </c>
      <c r="M338" s="70">
        <v>12650.000000000002</v>
      </c>
    </row>
    <row r="339" spans="11:13" x14ac:dyDescent="0.35">
      <c r="K339" t="s">
        <v>819</v>
      </c>
      <c r="L339" t="s">
        <v>820</v>
      </c>
      <c r="M339" s="70">
        <v>14580.000000000002</v>
      </c>
    </row>
    <row r="340" spans="11:13" x14ac:dyDescent="0.35">
      <c r="K340" t="s">
        <v>821</v>
      </c>
      <c r="L340" t="s">
        <v>822</v>
      </c>
      <c r="M340" s="70">
        <v>10890</v>
      </c>
    </row>
    <row r="341" spans="11:13" x14ac:dyDescent="0.35">
      <c r="K341" t="s">
        <v>823</v>
      </c>
      <c r="L341" t="s">
        <v>824</v>
      </c>
      <c r="M341" s="70">
        <v>14580.000000000002</v>
      </c>
    </row>
    <row r="342" spans="11:13" x14ac:dyDescent="0.35">
      <c r="K342" t="s">
        <v>825</v>
      </c>
      <c r="L342" t="s">
        <v>826</v>
      </c>
      <c r="M342" s="70">
        <v>10890</v>
      </c>
    </row>
    <row r="343" spans="11:13" x14ac:dyDescent="0.35">
      <c r="K343" t="s">
        <v>827</v>
      </c>
      <c r="L343" t="s">
        <v>828</v>
      </c>
      <c r="M343" s="70">
        <v>11550.000000000002</v>
      </c>
    </row>
    <row r="344" spans="11:13" x14ac:dyDescent="0.35">
      <c r="K344" t="s">
        <v>829</v>
      </c>
      <c r="L344" t="s">
        <v>830</v>
      </c>
      <c r="M344" s="70">
        <v>10890</v>
      </c>
    </row>
    <row r="345" spans="11:13" x14ac:dyDescent="0.35">
      <c r="K345" t="s">
        <v>831</v>
      </c>
      <c r="L345" t="s">
        <v>832</v>
      </c>
      <c r="M345" s="70">
        <v>10890</v>
      </c>
    </row>
    <row r="346" spans="11:13" x14ac:dyDescent="0.35">
      <c r="K346" t="s">
        <v>833</v>
      </c>
      <c r="L346" t="s">
        <v>834</v>
      </c>
      <c r="M346" s="70">
        <v>10890</v>
      </c>
    </row>
    <row r="347" spans="11:13" x14ac:dyDescent="0.35">
      <c r="K347" t="s">
        <v>835</v>
      </c>
      <c r="L347" t="s">
        <v>836</v>
      </c>
      <c r="M347" s="70">
        <v>14580.000000000002</v>
      </c>
    </row>
    <row r="348" spans="11:13" x14ac:dyDescent="0.35">
      <c r="K348" t="s">
        <v>837</v>
      </c>
      <c r="L348" t="s">
        <v>838</v>
      </c>
      <c r="M348" s="70">
        <v>17325</v>
      </c>
    </row>
    <row r="349" spans="11:13" x14ac:dyDescent="0.35">
      <c r="K349" t="s">
        <v>839</v>
      </c>
      <c r="L349" t="s">
        <v>840</v>
      </c>
      <c r="M349" s="70">
        <v>14580.000000000002</v>
      </c>
    </row>
    <row r="350" spans="11:13" x14ac:dyDescent="0.35">
      <c r="K350" t="s">
        <v>841</v>
      </c>
      <c r="L350" t="s">
        <v>842</v>
      </c>
      <c r="M350" s="70">
        <v>10890</v>
      </c>
    </row>
    <row r="351" spans="11:13" x14ac:dyDescent="0.35">
      <c r="K351" t="s">
        <v>843</v>
      </c>
      <c r="L351" t="s">
        <v>844</v>
      </c>
      <c r="M351" s="70">
        <v>10890</v>
      </c>
    </row>
    <row r="352" spans="11:13" x14ac:dyDescent="0.35">
      <c r="K352" t="s">
        <v>845</v>
      </c>
      <c r="L352" t="s">
        <v>846</v>
      </c>
      <c r="M352" s="70">
        <v>10890</v>
      </c>
    </row>
    <row r="353" spans="11:13" x14ac:dyDescent="0.35">
      <c r="K353" t="s">
        <v>847</v>
      </c>
      <c r="L353" t="s">
        <v>848</v>
      </c>
      <c r="M353" s="70">
        <v>10890</v>
      </c>
    </row>
    <row r="354" spans="11:13" x14ac:dyDescent="0.35">
      <c r="K354" t="s">
        <v>849</v>
      </c>
      <c r="L354" t="s">
        <v>850</v>
      </c>
      <c r="M354" s="70">
        <v>10890</v>
      </c>
    </row>
    <row r="355" spans="11:13" x14ac:dyDescent="0.35">
      <c r="K355" t="s">
        <v>851</v>
      </c>
      <c r="L355" t="s">
        <v>852</v>
      </c>
      <c r="M355" s="70">
        <v>11550.000000000002</v>
      </c>
    </row>
    <row r="356" spans="11:13" x14ac:dyDescent="0.35">
      <c r="K356" t="s">
        <v>853</v>
      </c>
      <c r="L356" t="s">
        <v>854</v>
      </c>
      <c r="M356" s="70">
        <v>14580.000000000002</v>
      </c>
    </row>
    <row r="357" spans="11:13" x14ac:dyDescent="0.35">
      <c r="K357" t="s">
        <v>855</v>
      </c>
      <c r="L357" t="s">
        <v>856</v>
      </c>
      <c r="M357" s="70">
        <v>12650.000000000002</v>
      </c>
    </row>
    <row r="358" spans="11:13" x14ac:dyDescent="0.35">
      <c r="K358" t="s">
        <v>857</v>
      </c>
      <c r="L358" t="s">
        <v>858</v>
      </c>
      <c r="M358" s="70">
        <v>11550.000000000002</v>
      </c>
    </row>
    <row r="359" spans="11:13" x14ac:dyDescent="0.35">
      <c r="K359" t="s">
        <v>859</v>
      </c>
      <c r="L359" t="s">
        <v>860</v>
      </c>
      <c r="M359" s="70">
        <v>15370</v>
      </c>
    </row>
    <row r="360" spans="11:13" x14ac:dyDescent="0.35">
      <c r="K360" t="s">
        <v>861</v>
      </c>
      <c r="L360" t="s">
        <v>862</v>
      </c>
      <c r="M360" s="70">
        <v>14580.000000000002</v>
      </c>
    </row>
    <row r="361" spans="11:13" x14ac:dyDescent="0.35">
      <c r="K361" t="s">
        <v>863</v>
      </c>
      <c r="L361" t="s">
        <v>864</v>
      </c>
      <c r="M361" s="70">
        <v>15370</v>
      </c>
    </row>
    <row r="362" spans="11:13" x14ac:dyDescent="0.35">
      <c r="K362" t="s">
        <v>865</v>
      </c>
      <c r="L362" t="s">
        <v>866</v>
      </c>
      <c r="M362" s="70">
        <v>10890</v>
      </c>
    </row>
    <row r="363" spans="11:13" x14ac:dyDescent="0.35">
      <c r="K363" t="s">
        <v>867</v>
      </c>
      <c r="L363" t="s">
        <v>868</v>
      </c>
      <c r="M363" s="70">
        <v>18375</v>
      </c>
    </row>
    <row r="364" spans="11:13" x14ac:dyDescent="0.35">
      <c r="K364" t="s">
        <v>869</v>
      </c>
      <c r="L364" t="s">
        <v>870</v>
      </c>
      <c r="M364" s="70">
        <v>17325</v>
      </c>
    </row>
    <row r="365" spans="11:13" x14ac:dyDescent="0.35">
      <c r="K365" t="s">
        <v>871</v>
      </c>
      <c r="L365" t="s">
        <v>872</v>
      </c>
      <c r="M365" s="70">
        <v>10890</v>
      </c>
    </row>
    <row r="366" spans="11:13" x14ac:dyDescent="0.35">
      <c r="K366" t="s">
        <v>873</v>
      </c>
      <c r="L366" t="s">
        <v>874</v>
      </c>
      <c r="M366" s="70">
        <v>18375</v>
      </c>
    </row>
    <row r="367" spans="11:13" x14ac:dyDescent="0.35">
      <c r="K367" t="s">
        <v>875</v>
      </c>
      <c r="L367" t="s">
        <v>876</v>
      </c>
      <c r="M367" s="70">
        <v>16430</v>
      </c>
    </row>
    <row r="368" spans="11:13" x14ac:dyDescent="0.35">
      <c r="K368" t="s">
        <v>877</v>
      </c>
      <c r="L368" t="s">
        <v>878</v>
      </c>
      <c r="M368" s="70">
        <v>17325</v>
      </c>
    </row>
    <row r="369" spans="11:13" x14ac:dyDescent="0.35">
      <c r="K369" t="s">
        <v>879</v>
      </c>
      <c r="L369" t="s">
        <v>880</v>
      </c>
      <c r="M369" s="70">
        <v>10890</v>
      </c>
    </row>
    <row r="370" spans="11:13" x14ac:dyDescent="0.35">
      <c r="K370" t="s">
        <v>881</v>
      </c>
      <c r="L370" t="s">
        <v>882</v>
      </c>
      <c r="M370" s="70">
        <v>14580.000000000002</v>
      </c>
    </row>
    <row r="371" spans="11:13" x14ac:dyDescent="0.35">
      <c r="K371" t="s">
        <v>883</v>
      </c>
      <c r="L371" t="s">
        <v>884</v>
      </c>
      <c r="M371" s="70">
        <v>10890</v>
      </c>
    </row>
    <row r="372" spans="11:13" x14ac:dyDescent="0.35">
      <c r="K372" t="s">
        <v>885</v>
      </c>
      <c r="L372" t="s">
        <v>886</v>
      </c>
      <c r="M372" s="70">
        <v>18375</v>
      </c>
    </row>
    <row r="373" spans="11:13" x14ac:dyDescent="0.35">
      <c r="K373" t="s">
        <v>887</v>
      </c>
      <c r="L373" t="s">
        <v>888</v>
      </c>
      <c r="M373" s="70">
        <v>14580.000000000002</v>
      </c>
    </row>
    <row r="374" spans="11:13" x14ac:dyDescent="0.35">
      <c r="K374" t="s">
        <v>889</v>
      </c>
      <c r="L374" t="s">
        <v>890</v>
      </c>
      <c r="M374" s="70">
        <v>12650.000000000002</v>
      </c>
    </row>
    <row r="375" spans="11:13" x14ac:dyDescent="0.35">
      <c r="K375" t="s">
        <v>891</v>
      </c>
      <c r="L375" t="s">
        <v>892</v>
      </c>
      <c r="M375" s="70">
        <v>10890</v>
      </c>
    </row>
    <row r="376" spans="11:13" x14ac:dyDescent="0.35">
      <c r="K376" t="s">
        <v>893</v>
      </c>
      <c r="L376" t="s">
        <v>894</v>
      </c>
      <c r="M376" s="70">
        <v>14580.000000000002</v>
      </c>
    </row>
    <row r="377" spans="11:13" x14ac:dyDescent="0.35">
      <c r="K377" t="s">
        <v>895</v>
      </c>
      <c r="L377" t="s">
        <v>896</v>
      </c>
      <c r="M377" s="70">
        <v>14580.000000000002</v>
      </c>
    </row>
    <row r="378" spans="11:13" x14ac:dyDescent="0.35">
      <c r="K378" t="s">
        <v>897</v>
      </c>
      <c r="L378" t="s">
        <v>898</v>
      </c>
      <c r="M378" s="70">
        <v>12650.000000000002</v>
      </c>
    </row>
    <row r="379" spans="11:13" x14ac:dyDescent="0.35">
      <c r="K379" t="s">
        <v>899</v>
      </c>
      <c r="L379" t="s">
        <v>900</v>
      </c>
      <c r="M379" s="70">
        <v>10890</v>
      </c>
    </row>
    <row r="380" spans="11:13" x14ac:dyDescent="0.35">
      <c r="K380" t="s">
        <v>901</v>
      </c>
      <c r="L380" t="s">
        <v>902</v>
      </c>
      <c r="M380" s="70">
        <v>10890</v>
      </c>
    </row>
    <row r="381" spans="11:13" x14ac:dyDescent="0.35">
      <c r="K381" t="s">
        <v>903</v>
      </c>
      <c r="L381" t="s">
        <v>904</v>
      </c>
      <c r="M381" s="70">
        <v>14580.000000000002</v>
      </c>
    </row>
    <row r="382" spans="11:13" x14ac:dyDescent="0.35">
      <c r="K382" t="s">
        <v>905</v>
      </c>
      <c r="L382" t="s">
        <v>906</v>
      </c>
      <c r="M382" s="70">
        <v>15370</v>
      </c>
    </row>
    <row r="383" spans="11:13" x14ac:dyDescent="0.35">
      <c r="K383" t="s">
        <v>907</v>
      </c>
      <c r="L383" t="s">
        <v>908</v>
      </c>
      <c r="M383" s="70">
        <v>10890</v>
      </c>
    </row>
    <row r="384" spans="11:13" x14ac:dyDescent="0.35">
      <c r="M384" s="70"/>
    </row>
  </sheetData>
  <sheetProtection algorithmName="SHA-512" hashValue="9aqXroBO0SMOVfMsxtKswMtiGeQsyyBldjuD27UOn3aDhnGeUtWIX6DWEC9FylCr66ATEpT4KV9LZDq/B3rL+A==" saltValue="xvI6WlcwA6F8KupTkvVo3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table</vt:lpstr>
      <vt:lpstr>Comp Form</vt:lpstr>
      <vt:lpstr>Minimum Salary</vt:lpstr>
      <vt:lpstr>Staff Info</vt:lpstr>
      <vt:lpstr>'Comp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Curran</dc:creator>
  <cp:lastModifiedBy>Adam Curran</cp:lastModifiedBy>
  <cp:lastPrinted>2024-07-17T14:18:12Z</cp:lastPrinted>
  <dcterms:created xsi:type="dcterms:W3CDTF">2024-06-12T16:27:58Z</dcterms:created>
  <dcterms:modified xsi:type="dcterms:W3CDTF">2024-08-28T19:18:21Z</dcterms:modified>
</cp:coreProperties>
</file>