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Annual Conference\2020\"/>
    </mc:Choice>
  </mc:AlternateContent>
  <bookViews>
    <workbookView xWindow="0" yWindow="0" windowWidth="20520" windowHeight="9465" firstSheet="11" activeTab="14"/>
  </bookViews>
  <sheets>
    <sheet name="Budget details" sheetId="5" state="hidden" r:id="rId1"/>
    <sheet name="DATA FOR 7 yrs" sheetId="8" state="hidden" r:id="rId2"/>
    <sheet name="Base data clergy 07" sheetId="7" state="hidden" r:id="rId3"/>
    <sheet name="Other Conf" sheetId="9" state="hidden" r:id="rId4"/>
    <sheet name="clergy comp 08" sheetId="10" state="hidden" r:id="rId5"/>
    <sheet name="budget detail 09" sheetId="11" state="hidden" r:id="rId6"/>
    <sheet name="Four Fouces" sheetId="13" state="hidden" r:id="rId7"/>
    <sheet name="2008 Changes" sheetId="14" state="hidden" r:id="rId8"/>
    <sheet name="2009 Changes" sheetId="15" state="hidden" r:id="rId9"/>
    <sheet name="Mar CMF" sheetId="22" state="hidden" r:id="rId10"/>
    <sheet name="Table of Contents" sheetId="30" state="hidden" r:id="rId11"/>
    <sheet name="Schedule 1" sheetId="39" r:id="rId12"/>
    <sheet name="Schedule 2" sheetId="40" r:id="rId13"/>
    <sheet name="Schedule 3" sheetId="41" r:id="rId14"/>
    <sheet name="Schedule 4" sheetId="42" r:id="rId15"/>
    <sheet name="Schedule 5" sheetId="43" r:id="rId16"/>
  </sheets>
  <definedNames>
    <definedName name="Comp_2006_for_Moses" localSheetId="2">'Base data clergy 07'!$C$1:$H$464</definedName>
    <definedName name="Comp_2006_for_Moses">#REF!</definedName>
    <definedName name="_xlnm.Print_Area" localSheetId="8">'2009 Changes'!$A$4:$H$58</definedName>
    <definedName name="_xlnm.Print_Area" localSheetId="2">'Base data clergy 07'!$B$1:$F$29</definedName>
    <definedName name="_xlnm.Print_Area" localSheetId="5">'budget detail 09'!$E$3:$F$343</definedName>
    <definedName name="_xlnm.Print_Area" localSheetId="0">'Budget details'!$E$7:$E$340</definedName>
    <definedName name="_xlnm.Print_Area" localSheetId="1">'DATA FOR 7 yrs'!$A$2:$F$34</definedName>
    <definedName name="_xlnm.Print_Area" localSheetId="9">'Mar CMF'!$B$1:$T$959</definedName>
    <definedName name="_xlnm.Print_Area" localSheetId="11">'Schedule 1'!$B$1:$U$32</definedName>
    <definedName name="_xlnm.Print_Area" localSheetId="12">'Schedule 2'!$A$1:$U$98</definedName>
    <definedName name="_xlnm.Print_Area" localSheetId="13">'Schedule 3'!$A$1:$O$19</definedName>
    <definedName name="_xlnm.Print_Area" localSheetId="14">'Schedule 4'!$A$1:$Y$28</definedName>
    <definedName name="_xlnm.Print_Area" localSheetId="15">'Schedule 5'!$A$1:$N$20</definedName>
    <definedName name="_xlnm.Print_Area" localSheetId="10">'Table of Contents'!$B$1:$J$28</definedName>
    <definedName name="_xlnm.Print_Titles" localSheetId="5">'budget detail 09'!$A:$B</definedName>
    <definedName name="_xlnm.Print_Titles" localSheetId="0">'Budget details'!$A:$B,'Budget details'!$2:$5</definedName>
    <definedName name="_xlnm.Print_Titles" localSheetId="9">'Mar CMF'!$1:$9</definedName>
    <definedName name="_xlnm.Print_Titles" localSheetId="12">'Schedule 2'!$1:$5</definedName>
  </definedNames>
  <calcPr calcId="162913"/>
</workbook>
</file>

<file path=xl/calcChain.xml><?xml version="1.0" encoding="utf-8"?>
<calcChain xmlns="http://schemas.openxmlformats.org/spreadsheetml/2006/main">
  <c r="N20" i="43" l="1"/>
  <c r="M20" i="43"/>
  <c r="L20" i="43"/>
  <c r="H18" i="43"/>
  <c r="H17" i="43"/>
  <c r="H16" i="43"/>
  <c r="I11" i="43"/>
  <c r="G11" i="43"/>
  <c r="E11" i="43"/>
  <c r="C11" i="43"/>
  <c r="D9" i="43" s="1"/>
  <c r="H9" i="43"/>
  <c r="H11" i="43" s="1"/>
  <c r="H8" i="43"/>
  <c r="H7" i="43"/>
  <c r="Y23" i="42"/>
  <c r="X23" i="42"/>
  <c r="W23" i="42"/>
  <c r="U23" i="42"/>
  <c r="T23" i="42"/>
  <c r="S23" i="42"/>
  <c r="Q23" i="42"/>
  <c r="P23" i="42"/>
  <c r="O23" i="42"/>
  <c r="M23" i="42"/>
  <c r="L23" i="42"/>
  <c r="K23" i="42"/>
  <c r="I23" i="42"/>
  <c r="G23" i="42"/>
  <c r="E23" i="42"/>
  <c r="C23" i="42"/>
  <c r="L19" i="41"/>
  <c r="N19" i="41" s="1"/>
  <c r="J19" i="41"/>
  <c r="H19" i="41"/>
  <c r="F19" i="41"/>
  <c r="D19" i="41"/>
  <c r="L17" i="41"/>
  <c r="N17" i="41" s="1"/>
  <c r="J17" i="41"/>
  <c r="H17" i="41"/>
  <c r="F17" i="41"/>
  <c r="D17" i="41"/>
  <c r="N8" i="41"/>
  <c r="N67" i="40"/>
  <c r="F67" i="40"/>
  <c r="T64" i="40"/>
  <c r="T67" i="40" s="1"/>
  <c r="R64" i="40"/>
  <c r="R67" i="40" s="1"/>
  <c r="P64" i="40"/>
  <c r="P67" i="40" s="1"/>
  <c r="N64" i="40"/>
  <c r="L64" i="40"/>
  <c r="L67" i="40" s="1"/>
  <c r="J64" i="40"/>
  <c r="J67" i="40" s="1"/>
  <c r="H64" i="40"/>
  <c r="H67" i="40" s="1"/>
  <c r="F64" i="40"/>
  <c r="D64" i="40"/>
  <c r="D67" i="40" s="1"/>
  <c r="T40" i="40"/>
  <c r="R40" i="40"/>
  <c r="P40" i="40"/>
  <c r="N40" i="40"/>
  <c r="L40" i="40"/>
  <c r="J40" i="40"/>
  <c r="H40" i="40"/>
  <c r="F40" i="40"/>
  <c r="D40" i="40"/>
  <c r="T34" i="40"/>
  <c r="R34" i="40"/>
  <c r="P34" i="40"/>
  <c r="N34" i="40"/>
  <c r="L34" i="40"/>
  <c r="J34" i="40"/>
  <c r="H34" i="40"/>
  <c r="F34" i="40"/>
  <c r="D34" i="40"/>
  <c r="F24" i="40"/>
  <c r="T13" i="40"/>
  <c r="R13" i="40"/>
  <c r="P13" i="40"/>
  <c r="N13" i="40"/>
  <c r="L13" i="40"/>
  <c r="J13" i="40"/>
  <c r="H13" i="40"/>
  <c r="F13" i="40"/>
  <c r="D13" i="40"/>
  <c r="D8" i="43" l="1"/>
  <c r="D7" i="43"/>
  <c r="D11" i="43" l="1"/>
  <c r="R26" i="39"/>
  <c r="R32" i="39" s="1"/>
  <c r="P26" i="39"/>
  <c r="P32" i="39" s="1"/>
  <c r="R12" i="39"/>
  <c r="P12" i="39"/>
  <c r="L32" i="39"/>
  <c r="J32" i="39"/>
  <c r="D30" i="39"/>
  <c r="D32" i="39" s="1"/>
  <c r="L26" i="39"/>
  <c r="J26" i="39"/>
  <c r="H26" i="39"/>
  <c r="H32" i="39" s="1"/>
  <c r="F26" i="39"/>
  <c r="F32" i="39" s="1"/>
  <c r="D26" i="39"/>
  <c r="L12" i="39"/>
  <c r="J12" i="39"/>
  <c r="H12" i="39"/>
  <c r="F12" i="39"/>
  <c r="D12" i="39"/>
  <c r="T26" i="39" l="1"/>
  <c r="T32" i="39" s="1"/>
  <c r="T12" i="39"/>
  <c r="N26" i="39"/>
  <c r="N32" i="39" s="1"/>
  <c r="N12" i="39"/>
  <c r="M876" i="22"/>
  <c r="Q876" i="22"/>
  <c r="M854" i="22"/>
  <c r="M773" i="22"/>
  <c r="O475" i="22"/>
  <c r="M375" i="22"/>
  <c r="S203" i="22"/>
  <c r="S214" i="22" s="1"/>
  <c r="S175" i="22"/>
  <c r="M157" i="22"/>
  <c r="Q157" i="22" s="1"/>
  <c r="Q175" i="22" s="1"/>
  <c r="M158" i="22"/>
  <c r="Q158" i="22"/>
  <c r="M159" i="22"/>
  <c r="Q159" i="22" s="1"/>
  <c r="M160" i="22"/>
  <c r="Q160" i="22"/>
  <c r="M161" i="22"/>
  <c r="Q161" i="22" s="1"/>
  <c r="M162" i="22"/>
  <c r="Q162" i="22"/>
  <c r="M163" i="22"/>
  <c r="Q163" i="22" s="1"/>
  <c r="M164" i="22"/>
  <c r="Q164" i="22"/>
  <c r="M165" i="22"/>
  <c r="Q165" i="22" s="1"/>
  <c r="M166" i="22"/>
  <c r="Q166" i="22"/>
  <c r="M167" i="22"/>
  <c r="Q167" i="22" s="1"/>
  <c r="M168" i="22"/>
  <c r="Q168" i="22"/>
  <c r="M169" i="22"/>
  <c r="Q169" i="22" s="1"/>
  <c r="M170" i="22"/>
  <c r="Q170" i="22"/>
  <c r="M171" i="22"/>
  <c r="Q171" i="22" s="1"/>
  <c r="M172" i="22"/>
  <c r="Q172" i="22"/>
  <c r="M173" i="22"/>
  <c r="Q173" i="22" s="1"/>
  <c r="M174" i="22"/>
  <c r="Q174" i="22"/>
  <c r="O175" i="22"/>
  <c r="J175" i="22"/>
  <c r="H170" i="22"/>
  <c r="H175" i="22"/>
  <c r="F175" i="22"/>
  <c r="S67" i="22"/>
  <c r="S84" i="22"/>
  <c r="S87" i="22"/>
  <c r="S90" i="22" s="1"/>
  <c r="S113" i="22" s="1"/>
  <c r="S94" i="22"/>
  <c r="S103" i="22"/>
  <c r="S107" i="22"/>
  <c r="S111" i="22"/>
  <c r="Q67" i="22"/>
  <c r="M70" i="22"/>
  <c r="Q70" i="22"/>
  <c r="M71" i="22"/>
  <c r="Q71" i="22" s="1"/>
  <c r="M72" i="22"/>
  <c r="Q72" i="22"/>
  <c r="M73" i="22"/>
  <c r="Q73" i="22" s="1"/>
  <c r="M74" i="22"/>
  <c r="Q74" i="22"/>
  <c r="M75" i="22"/>
  <c r="Q75" i="22" s="1"/>
  <c r="J76" i="22"/>
  <c r="M76" i="22"/>
  <c r="Q76" i="22" s="1"/>
  <c r="M77" i="22"/>
  <c r="Q77" i="22"/>
  <c r="M78" i="22"/>
  <c r="Q78" i="22" s="1"/>
  <c r="M79" i="22"/>
  <c r="Q79" i="22"/>
  <c r="M80" i="22"/>
  <c r="Q80" i="22" s="1"/>
  <c r="M81" i="22"/>
  <c r="Q81" i="22"/>
  <c r="M82" i="22"/>
  <c r="Q82" i="22" s="1"/>
  <c r="Q90" i="22" s="1"/>
  <c r="M83" i="22"/>
  <c r="Q83" i="22"/>
  <c r="M84" i="22"/>
  <c r="Q84" i="22" s="1"/>
  <c r="M85" i="22"/>
  <c r="Q85" i="22"/>
  <c r="M86" i="22"/>
  <c r="Q86" i="22" s="1"/>
  <c r="M87" i="22"/>
  <c r="Q87" i="22"/>
  <c r="M88" i="22"/>
  <c r="Q88" i="22" s="1"/>
  <c r="M89" i="22"/>
  <c r="Q89" i="22"/>
  <c r="M93" i="22"/>
  <c r="M97" i="22"/>
  <c r="M98" i="22"/>
  <c r="Q98" i="22"/>
  <c r="M99" i="22"/>
  <c r="Q99" i="22"/>
  <c r="M100" i="22"/>
  <c r="Q100" i="22"/>
  <c r="M101" i="22"/>
  <c r="Q101" i="22"/>
  <c r="M102" i="22"/>
  <c r="Q102" i="22"/>
  <c r="M106" i="22"/>
  <c r="M110" i="22"/>
  <c r="O67" i="22"/>
  <c r="O90" i="22"/>
  <c r="O94" i="22"/>
  <c r="O103" i="22"/>
  <c r="O107" i="22"/>
  <c r="O111" i="22"/>
  <c r="M67" i="22"/>
  <c r="J67" i="22"/>
  <c r="J90" i="22"/>
  <c r="J94" i="22"/>
  <c r="J103" i="22"/>
  <c r="J107" i="22"/>
  <c r="J111" i="22"/>
  <c r="H67" i="22"/>
  <c r="H90" i="22"/>
  <c r="H94" i="22"/>
  <c r="H103" i="22"/>
  <c r="H107" i="22"/>
  <c r="H111" i="22"/>
  <c r="F67" i="22"/>
  <c r="F90" i="22"/>
  <c r="F94" i="22"/>
  <c r="F103" i="22"/>
  <c r="F107" i="22"/>
  <c r="F111" i="22"/>
  <c r="Q20" i="22"/>
  <c r="M952" i="22"/>
  <c r="M948" i="22"/>
  <c r="Q948" i="22"/>
  <c r="M934" i="22"/>
  <c r="M928" i="22"/>
  <c r="M918" i="22"/>
  <c r="M917" i="22"/>
  <c r="Q917" i="22" s="1"/>
  <c r="M916" i="22"/>
  <c r="M915" i="22"/>
  <c r="M914" i="22"/>
  <c r="M913" i="22"/>
  <c r="Q913" i="22" s="1"/>
  <c r="M912" i="22"/>
  <c r="M911" i="22"/>
  <c r="M910" i="22"/>
  <c r="M909" i="22"/>
  <c r="Q909" i="22" s="1"/>
  <c r="M908" i="22"/>
  <c r="M907" i="22"/>
  <c r="M906" i="22"/>
  <c r="M905" i="22"/>
  <c r="Q905" i="22" s="1"/>
  <c r="M904" i="22"/>
  <c r="M903" i="22"/>
  <c r="M902" i="22"/>
  <c r="M901" i="22"/>
  <c r="M919" i="22" s="1"/>
  <c r="M897" i="22"/>
  <c r="M896" i="22"/>
  <c r="M895" i="22"/>
  <c r="M894" i="22"/>
  <c r="M893" i="22"/>
  <c r="M892" i="22"/>
  <c r="M891" i="22"/>
  <c r="M886" i="22"/>
  <c r="M885" i="22"/>
  <c r="M884" i="22"/>
  <c r="M880" i="22"/>
  <c r="M874" i="22"/>
  <c r="M873" i="22"/>
  <c r="M872" i="22"/>
  <c r="M871" i="22"/>
  <c r="M870" i="22"/>
  <c r="Q870" i="22"/>
  <c r="M869" i="22"/>
  <c r="M868" i="22"/>
  <c r="M867" i="22"/>
  <c r="M866" i="22"/>
  <c r="M865" i="22"/>
  <c r="M864" i="22"/>
  <c r="M860" i="22"/>
  <c r="Q860" i="22"/>
  <c r="M859" i="22"/>
  <c r="M858" i="22"/>
  <c r="M857" i="22"/>
  <c r="M856" i="22"/>
  <c r="Q856" i="22"/>
  <c r="M855" i="22"/>
  <c r="M848" i="22"/>
  <c r="M847" i="22"/>
  <c r="M846" i="22"/>
  <c r="Q846" i="22"/>
  <c r="M845" i="22"/>
  <c r="M844" i="22"/>
  <c r="M843" i="22"/>
  <c r="M842" i="22"/>
  <c r="Q842" i="22" s="1"/>
  <c r="M841" i="22"/>
  <c r="M840" i="22"/>
  <c r="Q840" i="22" s="1"/>
  <c r="M839" i="22"/>
  <c r="M838" i="22"/>
  <c r="Q838" i="22"/>
  <c r="M837" i="22"/>
  <c r="M836" i="22"/>
  <c r="Q836" i="22" s="1"/>
  <c r="M835" i="22"/>
  <c r="Q835" i="22"/>
  <c r="M834" i="22"/>
  <c r="Q834" i="22" s="1"/>
  <c r="M833" i="22"/>
  <c r="Q833" i="22"/>
  <c r="M832" i="22"/>
  <c r="Q832" i="22"/>
  <c r="M831" i="22"/>
  <c r="M830" i="22"/>
  <c r="M829" i="22"/>
  <c r="M828" i="22"/>
  <c r="Q828" i="22" s="1"/>
  <c r="M827" i="22"/>
  <c r="M826" i="22"/>
  <c r="M825" i="22"/>
  <c r="M824" i="22"/>
  <c r="Q824" i="22"/>
  <c r="M817" i="22"/>
  <c r="M809" i="22"/>
  <c r="Q809" i="22" s="1"/>
  <c r="M808" i="22"/>
  <c r="M807" i="22"/>
  <c r="Q807" i="22"/>
  <c r="M806" i="22"/>
  <c r="Q806" i="22"/>
  <c r="M805" i="22"/>
  <c r="M804" i="22"/>
  <c r="Q804" i="22" s="1"/>
  <c r="M803" i="22"/>
  <c r="Q803" i="22"/>
  <c r="M802" i="22"/>
  <c r="M801" i="22"/>
  <c r="M800" i="22"/>
  <c r="M799" i="22"/>
  <c r="Q799" i="22" s="1"/>
  <c r="M798" i="22"/>
  <c r="M797" i="22"/>
  <c r="M796" i="22"/>
  <c r="Q796" i="22" s="1"/>
  <c r="M795" i="22"/>
  <c r="Q795" i="22" s="1"/>
  <c r="M794" i="22"/>
  <c r="Q794" i="22"/>
  <c r="M793" i="22"/>
  <c r="Q793" i="22" s="1"/>
  <c r="M792" i="22"/>
  <c r="Q792" i="22"/>
  <c r="J791" i="22"/>
  <c r="M791" i="22" s="1"/>
  <c r="Q791" i="22" s="1"/>
  <c r="M790" i="22"/>
  <c r="Q790" i="22" s="1"/>
  <c r="M789" i="22"/>
  <c r="J788" i="22"/>
  <c r="M788" i="22"/>
  <c r="Q788" i="22" s="1"/>
  <c r="M787" i="22"/>
  <c r="M786" i="22"/>
  <c r="M785" i="22"/>
  <c r="Q785" i="22" s="1"/>
  <c r="Q810" i="22" s="1"/>
  <c r="M784" i="22"/>
  <c r="M783" i="22"/>
  <c r="M777" i="22"/>
  <c r="Q777" i="22" s="1"/>
  <c r="M776" i="22"/>
  <c r="Q776" i="22"/>
  <c r="M775" i="22"/>
  <c r="M774" i="22"/>
  <c r="Q774" i="22" s="1"/>
  <c r="M772" i="22"/>
  <c r="Q772" i="22"/>
  <c r="M771" i="22"/>
  <c r="Q771" i="22" s="1"/>
  <c r="M770" i="22"/>
  <c r="Q770" i="22"/>
  <c r="M769" i="22"/>
  <c r="Q769" i="22" s="1"/>
  <c r="M768" i="22"/>
  <c r="M767" i="22"/>
  <c r="Q767" i="22"/>
  <c r="M766" i="22"/>
  <c r="Q766" i="22" s="1"/>
  <c r="M765" i="22"/>
  <c r="M764" i="22"/>
  <c r="Q764" i="22"/>
  <c r="M763" i="22"/>
  <c r="Q763" i="22"/>
  <c r="M762" i="22"/>
  <c r="Q762" i="22"/>
  <c r="M761" i="22"/>
  <c r="Q761" i="22"/>
  <c r="M760" i="22"/>
  <c r="M759" i="22"/>
  <c r="Q759" i="22" s="1"/>
  <c r="M758" i="22"/>
  <c r="Q758" i="22"/>
  <c r="M757" i="22"/>
  <c r="M756" i="22"/>
  <c r="M755" i="22"/>
  <c r="Q755" i="22"/>
  <c r="M754" i="22"/>
  <c r="M753" i="22"/>
  <c r="M752" i="22"/>
  <c r="Q752" i="22"/>
  <c r="M751" i="22"/>
  <c r="Q751" i="22" s="1"/>
  <c r="M750" i="22"/>
  <c r="M746" i="22"/>
  <c r="Q746" i="22" s="1"/>
  <c r="M745" i="22"/>
  <c r="M744" i="22"/>
  <c r="Q744" i="22"/>
  <c r="M743" i="22"/>
  <c r="M742" i="22"/>
  <c r="Q742" i="22"/>
  <c r="M741" i="22"/>
  <c r="M740" i="22"/>
  <c r="M739" i="22"/>
  <c r="M738" i="22"/>
  <c r="Q738" i="22"/>
  <c r="M737" i="22"/>
  <c r="M730" i="22"/>
  <c r="M729" i="22"/>
  <c r="M728" i="22"/>
  <c r="Q728" i="22"/>
  <c r="M727" i="22"/>
  <c r="M726" i="22"/>
  <c r="M725" i="22"/>
  <c r="M724" i="22"/>
  <c r="Q724" i="22" s="1"/>
  <c r="M723" i="22"/>
  <c r="M722" i="22"/>
  <c r="M721" i="22"/>
  <c r="M720" i="22"/>
  <c r="M719" i="22"/>
  <c r="M718" i="22"/>
  <c r="J712" i="22"/>
  <c r="M712" i="22" s="1"/>
  <c r="Q712" i="22" s="1"/>
  <c r="M709" i="22"/>
  <c r="Q709" i="22"/>
  <c r="M705" i="22"/>
  <c r="Q705" i="22"/>
  <c r="M701" i="22"/>
  <c r="Q701" i="22"/>
  <c r="M700" i="22"/>
  <c r="Q700" i="22"/>
  <c r="M699" i="22"/>
  <c r="Q699" i="22"/>
  <c r="M698" i="22"/>
  <c r="M697" i="22"/>
  <c r="M696" i="22"/>
  <c r="Q696" i="22"/>
  <c r="M695" i="22"/>
  <c r="Q695" i="22"/>
  <c r="M694" i="22"/>
  <c r="M690" i="22"/>
  <c r="Q690" i="22" s="1"/>
  <c r="M689" i="22"/>
  <c r="Q689" i="22"/>
  <c r="M688" i="22"/>
  <c r="Q688" i="22" s="1"/>
  <c r="M687" i="22"/>
  <c r="Q687" i="22"/>
  <c r="M686" i="22"/>
  <c r="M685" i="22"/>
  <c r="M684" i="22"/>
  <c r="Q684" i="22"/>
  <c r="M683" i="22"/>
  <c r="M679" i="22"/>
  <c r="M678" i="22"/>
  <c r="M677" i="22"/>
  <c r="Q677" i="22"/>
  <c r="M676" i="22"/>
  <c r="M675" i="22"/>
  <c r="M674" i="22"/>
  <c r="Q674" i="22"/>
  <c r="M673" i="22"/>
  <c r="M672" i="22"/>
  <c r="Q672" i="22"/>
  <c r="M668" i="22"/>
  <c r="M667" i="22"/>
  <c r="Q667" i="22" s="1"/>
  <c r="M666" i="22"/>
  <c r="Q666" i="22"/>
  <c r="M665" i="22"/>
  <c r="Q665" i="22" s="1"/>
  <c r="M664" i="22"/>
  <c r="Q664" i="22"/>
  <c r="M663" i="22"/>
  <c r="M662" i="22"/>
  <c r="M661" i="22"/>
  <c r="M660" i="22"/>
  <c r="Q660" i="22" s="1"/>
  <c r="M655" i="22"/>
  <c r="M647" i="22"/>
  <c r="Q647" i="22"/>
  <c r="M633" i="22"/>
  <c r="Q633" i="22" s="1"/>
  <c r="Q642" i="22" s="1"/>
  <c r="M623" i="22"/>
  <c r="M619" i="22"/>
  <c r="M620" i="22" s="1"/>
  <c r="M610" i="22"/>
  <c r="Q610" i="22"/>
  <c r="M609" i="22"/>
  <c r="Q609" i="22"/>
  <c r="M608" i="22"/>
  <c r="M607" i="22"/>
  <c r="Q607" i="22"/>
  <c r="M606" i="22"/>
  <c r="Q606" i="22" s="1"/>
  <c r="M605" i="22"/>
  <c r="Q605" i="22"/>
  <c r="M604" i="22"/>
  <c r="Q604" i="22"/>
  <c r="M603" i="22"/>
  <c r="M602" i="22"/>
  <c r="M601" i="22"/>
  <c r="Q601" i="22"/>
  <c r="M600" i="22"/>
  <c r="M599" i="22"/>
  <c r="Q599" i="22"/>
  <c r="M598" i="22"/>
  <c r="Q598" i="22" s="1"/>
  <c r="M597" i="22"/>
  <c r="Q597" i="22"/>
  <c r="M596" i="22"/>
  <c r="M595" i="22"/>
  <c r="M594" i="22"/>
  <c r="M593" i="22"/>
  <c r="Q593" i="22"/>
  <c r="M592" i="22"/>
  <c r="Q592" i="22" s="1"/>
  <c r="M591" i="22"/>
  <c r="M590" i="22"/>
  <c r="M589" i="22"/>
  <c r="Q589" i="22" s="1"/>
  <c r="M588" i="22"/>
  <c r="M587" i="22"/>
  <c r="Q587" i="22" s="1"/>
  <c r="M586" i="22"/>
  <c r="M585" i="22"/>
  <c r="Q585" i="22"/>
  <c r="M584" i="22"/>
  <c r="M583" i="22"/>
  <c r="Q583" i="22" s="1"/>
  <c r="M582" i="22"/>
  <c r="M581" i="22"/>
  <c r="Q581" i="22" s="1"/>
  <c r="M580" i="22"/>
  <c r="Q580" i="22"/>
  <c r="M579" i="22"/>
  <c r="Q579" i="22" s="1"/>
  <c r="M578" i="22"/>
  <c r="Q578" i="22" s="1"/>
  <c r="M577" i="22"/>
  <c r="Q577" i="22"/>
  <c r="M576" i="22"/>
  <c r="M575" i="22"/>
  <c r="M574" i="22"/>
  <c r="J573" i="22"/>
  <c r="J572" i="22"/>
  <c r="M572" i="22" s="1"/>
  <c r="M571" i="22"/>
  <c r="Q571" i="22"/>
  <c r="M570" i="22"/>
  <c r="Q570" i="22" s="1"/>
  <c r="M569" i="22"/>
  <c r="Q569" i="22"/>
  <c r="M568" i="22"/>
  <c r="M567" i="22"/>
  <c r="Q567" i="22" s="1"/>
  <c r="M566" i="22"/>
  <c r="M565" i="22"/>
  <c r="Q565" i="22"/>
  <c r="M554" i="22"/>
  <c r="M555" i="22" s="1"/>
  <c r="M549" i="22"/>
  <c r="Q549" i="22"/>
  <c r="Q550" i="22"/>
  <c r="M546" i="22"/>
  <c r="Q546" i="22" s="1"/>
  <c r="M543" i="22"/>
  <c r="M538" i="22"/>
  <c r="Q538" i="22"/>
  <c r="M532" i="22"/>
  <c r="M531" i="22"/>
  <c r="M530" i="22"/>
  <c r="M529" i="22"/>
  <c r="M528" i="22"/>
  <c r="Q528" i="22"/>
  <c r="M518" i="22"/>
  <c r="M517" i="22"/>
  <c r="M516" i="22"/>
  <c r="M515" i="22"/>
  <c r="Q515" i="22"/>
  <c r="M514" i="22"/>
  <c r="M513" i="22"/>
  <c r="Q513" i="22"/>
  <c r="M512" i="22"/>
  <c r="M511" i="22"/>
  <c r="Q511" i="22" s="1"/>
  <c r="M510" i="22"/>
  <c r="M509" i="22"/>
  <c r="Q509" i="22" s="1"/>
  <c r="M508" i="22"/>
  <c r="Q508" i="22" s="1"/>
  <c r="J507" i="22"/>
  <c r="M507" i="22"/>
  <c r="Q507" i="22" s="1"/>
  <c r="J506" i="22"/>
  <c r="M506" i="22"/>
  <c r="Q506" i="22"/>
  <c r="M505" i="22"/>
  <c r="Q505" i="22" s="1"/>
  <c r="J504" i="22"/>
  <c r="M504" i="22"/>
  <c r="Q504" i="22"/>
  <c r="M503" i="22"/>
  <c r="Q503" i="22"/>
  <c r="J502" i="22"/>
  <c r="M497" i="22"/>
  <c r="Q497" i="22" s="1"/>
  <c r="M496" i="22"/>
  <c r="Q496" i="22"/>
  <c r="M495" i="22"/>
  <c r="Q495" i="22"/>
  <c r="M494" i="22"/>
  <c r="M493" i="22"/>
  <c r="Q493" i="22"/>
  <c r="M492" i="22"/>
  <c r="Q492" i="22" s="1"/>
  <c r="M491" i="22"/>
  <c r="Q491" i="22"/>
  <c r="M490" i="22"/>
  <c r="Q490" i="22"/>
  <c r="M489" i="22"/>
  <c r="Q489" i="22"/>
  <c r="M488" i="22"/>
  <c r="J487" i="22"/>
  <c r="M487" i="22" s="1"/>
  <c r="Q487" i="22" s="1"/>
  <c r="J486" i="22"/>
  <c r="M486" i="22" s="1"/>
  <c r="Q486" i="22" s="1"/>
  <c r="M485" i="22"/>
  <c r="Q485" i="22"/>
  <c r="J484" i="22"/>
  <c r="M484" i="22" s="1"/>
  <c r="Q484" i="22" s="1"/>
  <c r="M483" i="22"/>
  <c r="Q483" i="22"/>
  <c r="J482" i="22"/>
  <c r="M477" i="22"/>
  <c r="M476" i="22"/>
  <c r="M475" i="22"/>
  <c r="Q475" i="22"/>
  <c r="M474" i="22"/>
  <c r="M473" i="22"/>
  <c r="Q473" i="22"/>
  <c r="M472" i="22"/>
  <c r="Q472" i="22" s="1"/>
  <c r="M471" i="22"/>
  <c r="Q471" i="22"/>
  <c r="M470" i="22"/>
  <c r="M469" i="22"/>
  <c r="M468" i="22"/>
  <c r="M467" i="22"/>
  <c r="Q467" i="22"/>
  <c r="M466" i="22"/>
  <c r="Q466" i="22"/>
  <c r="J465" i="22"/>
  <c r="M465" i="22"/>
  <c r="Q465" i="22" s="1"/>
  <c r="J464" i="22"/>
  <c r="M464" i="22"/>
  <c r="Q464" i="22" s="1"/>
  <c r="M463" i="22"/>
  <c r="J462" i="22"/>
  <c r="M462" i="22"/>
  <c r="Q462" i="22" s="1"/>
  <c r="Q479" i="22" s="1"/>
  <c r="M461" i="22"/>
  <c r="J460" i="22"/>
  <c r="M460" i="22"/>
  <c r="Q460" i="22" s="1"/>
  <c r="M455" i="22"/>
  <c r="Q455" i="22"/>
  <c r="M454" i="22"/>
  <c r="Q454" i="22" s="1"/>
  <c r="M453" i="22"/>
  <c r="Q453" i="22"/>
  <c r="M452" i="22"/>
  <c r="Q452" i="22" s="1"/>
  <c r="M451" i="22"/>
  <c r="Q451" i="22" s="1"/>
  <c r="M450" i="22"/>
  <c r="Q450" i="22"/>
  <c r="M449" i="22"/>
  <c r="M448" i="22"/>
  <c r="M447" i="22"/>
  <c r="Q447" i="22"/>
  <c r="M446" i="22"/>
  <c r="Q446" i="22" s="1"/>
  <c r="J445" i="22"/>
  <c r="M445" i="22"/>
  <c r="Q445" i="22"/>
  <c r="J444" i="22"/>
  <c r="M443" i="22"/>
  <c r="J442" i="22"/>
  <c r="M442" i="22" s="1"/>
  <c r="Q442" i="22" s="1"/>
  <c r="M441" i="22"/>
  <c r="Q441" i="22" s="1"/>
  <c r="J440" i="22"/>
  <c r="M435" i="22"/>
  <c r="M434" i="22"/>
  <c r="Q434" i="22" s="1"/>
  <c r="M433" i="22"/>
  <c r="M432" i="22"/>
  <c r="Q432" i="22" s="1"/>
  <c r="M431" i="22"/>
  <c r="M430" i="22"/>
  <c r="Q430" i="22"/>
  <c r="M429" i="22"/>
  <c r="M428" i="22"/>
  <c r="Q428" i="22"/>
  <c r="M427" i="22"/>
  <c r="M426" i="22"/>
  <c r="Q426" i="22" s="1"/>
  <c r="M425" i="22"/>
  <c r="M424" i="22"/>
  <c r="Q424" i="22"/>
  <c r="J423" i="22"/>
  <c r="M423" i="22"/>
  <c r="Q423" i="22"/>
  <c r="J422" i="22"/>
  <c r="M422" i="22" s="1"/>
  <c r="Q422" i="22" s="1"/>
  <c r="M421" i="22"/>
  <c r="Q421" i="22"/>
  <c r="J420" i="22"/>
  <c r="M420" i="22"/>
  <c r="Q420" i="22"/>
  <c r="M419" i="22"/>
  <c r="Q419" i="22" s="1"/>
  <c r="J418" i="22"/>
  <c r="M418" i="22"/>
  <c r="M437" i="22" s="1"/>
  <c r="M413" i="22"/>
  <c r="Q413" i="22" s="1"/>
  <c r="M412" i="22"/>
  <c r="Q412" i="22"/>
  <c r="M411" i="22"/>
  <c r="Q411" i="22" s="1"/>
  <c r="J410" i="22"/>
  <c r="M410" i="22"/>
  <c r="Q410" i="22"/>
  <c r="M409" i="22"/>
  <c r="Q409" i="22"/>
  <c r="M408" i="22"/>
  <c r="Q408" i="22"/>
  <c r="M407" i="22"/>
  <c r="Q407" i="22"/>
  <c r="M406" i="22"/>
  <c r="M405" i="22"/>
  <c r="M404" i="22"/>
  <c r="Q404" i="22"/>
  <c r="M403" i="22"/>
  <c r="Q403" i="22"/>
  <c r="J402" i="22"/>
  <c r="M402" i="22"/>
  <c r="Q402" i="22"/>
  <c r="J401" i="22"/>
  <c r="M401" i="22" s="1"/>
  <c r="Q401" i="22" s="1"/>
  <c r="M400" i="22"/>
  <c r="Q400" i="22" s="1"/>
  <c r="J399" i="22"/>
  <c r="M399" i="22"/>
  <c r="Q399" i="22"/>
  <c r="M398" i="22"/>
  <c r="Q398" i="22" s="1"/>
  <c r="J397" i="22"/>
  <c r="M390" i="22"/>
  <c r="Q390" i="22"/>
  <c r="M389" i="22"/>
  <c r="M388" i="22"/>
  <c r="Q388" i="22"/>
  <c r="M387" i="22"/>
  <c r="Q387" i="22" s="1"/>
  <c r="M386" i="22"/>
  <c r="Q386" i="22"/>
  <c r="M385" i="22"/>
  <c r="M384" i="22"/>
  <c r="M383" i="22"/>
  <c r="Q383" i="22"/>
  <c r="M382" i="22"/>
  <c r="M381" i="22"/>
  <c r="Q381" i="22" s="1"/>
  <c r="M380" i="22"/>
  <c r="Q380" i="22"/>
  <c r="M369" i="22"/>
  <c r="Q369" i="22" s="1"/>
  <c r="M368" i="22"/>
  <c r="Q368" i="22" s="1"/>
  <c r="M367" i="22"/>
  <c r="M366" i="22"/>
  <c r="Q366" i="22"/>
  <c r="M365" i="22"/>
  <c r="Q365" i="22"/>
  <c r="M364" i="22"/>
  <c r="Q364" i="22"/>
  <c r="M363" i="22"/>
  <c r="Q363" i="22"/>
  <c r="M362" i="22"/>
  <c r="Q362" i="22"/>
  <c r="M361" i="22"/>
  <c r="M360" i="22"/>
  <c r="M359" i="22"/>
  <c r="M358" i="22"/>
  <c r="Q358" i="22" s="1"/>
  <c r="M354" i="22"/>
  <c r="Q354" i="22"/>
  <c r="M353" i="22"/>
  <c r="Q353" i="22" s="1"/>
  <c r="M352" i="22"/>
  <c r="M351" i="22"/>
  <c r="Q351" i="22" s="1"/>
  <c r="M350" i="22"/>
  <c r="Q350" i="22"/>
  <c r="M349" i="22"/>
  <c r="Q349" i="22" s="1"/>
  <c r="M348" i="22"/>
  <c r="M347" i="22"/>
  <c r="Q347" i="22"/>
  <c r="M346" i="22"/>
  <c r="Q346" i="22" s="1"/>
  <c r="M345" i="22"/>
  <c r="Q345" i="22"/>
  <c r="M344" i="22"/>
  <c r="Q344" i="22" s="1"/>
  <c r="M343" i="22"/>
  <c r="Q343" i="22"/>
  <c r="M342" i="22"/>
  <c r="Q342" i="22"/>
  <c r="M341" i="22"/>
  <c r="Q341" i="22"/>
  <c r="M337" i="22"/>
  <c r="Q337" i="22" s="1"/>
  <c r="M336" i="22"/>
  <c r="Q336" i="22" s="1"/>
  <c r="M335" i="22"/>
  <c r="Q335" i="22"/>
  <c r="M334" i="22"/>
  <c r="Q334" i="22" s="1"/>
  <c r="M333" i="22"/>
  <c r="M338" i="22" s="1"/>
  <c r="M332" i="22"/>
  <c r="Q332" i="22" s="1"/>
  <c r="M327" i="22"/>
  <c r="M326" i="22"/>
  <c r="Q326" i="22"/>
  <c r="M325" i="22"/>
  <c r="M324" i="22"/>
  <c r="M323" i="22"/>
  <c r="Q323" i="22" s="1"/>
  <c r="M322" i="22"/>
  <c r="Q322" i="22" s="1"/>
  <c r="Q329" i="22" s="1"/>
  <c r="M321" i="22"/>
  <c r="M320" i="22"/>
  <c r="Q320" i="22"/>
  <c r="M316" i="22"/>
  <c r="M313" i="22"/>
  <c r="Q313" i="22"/>
  <c r="M312" i="22"/>
  <c r="M301" i="22"/>
  <c r="Q301" i="22"/>
  <c r="Q302" i="22"/>
  <c r="M296" i="22"/>
  <c r="Q296" i="22"/>
  <c r="Q297" i="22"/>
  <c r="M292" i="22"/>
  <c r="Q292" i="22" s="1"/>
  <c r="Q293" i="22" s="1"/>
  <c r="M288" i="22"/>
  <c r="Q288" i="22" s="1"/>
  <c r="Q289" i="22" s="1"/>
  <c r="M284" i="22"/>
  <c r="M285" i="22" s="1"/>
  <c r="M279" i="22"/>
  <c r="Q279" i="22"/>
  <c r="M268" i="22"/>
  <c r="M259" i="22"/>
  <c r="Q259" i="22" s="1"/>
  <c r="Q260" i="22" s="1"/>
  <c r="M250" i="22"/>
  <c r="Q250" i="22"/>
  <c r="M249" i="22"/>
  <c r="M248" i="22"/>
  <c r="Q248" i="22"/>
  <c r="M247" i="22"/>
  <c r="Q247" i="22" s="1"/>
  <c r="M246" i="22"/>
  <c r="Q246" i="22"/>
  <c r="M245" i="22"/>
  <c r="M244" i="22"/>
  <c r="Q244" i="22"/>
  <c r="M243" i="22"/>
  <c r="Q243" i="22" s="1"/>
  <c r="M242" i="22"/>
  <c r="Q242" i="22"/>
  <c r="M241" i="22"/>
  <c r="Q241" i="22" s="1"/>
  <c r="M240" i="22"/>
  <c r="Q240" i="22"/>
  <c r="M239" i="22"/>
  <c r="M238" i="22"/>
  <c r="Q238" i="22" s="1"/>
  <c r="J237" i="22"/>
  <c r="M237" i="22"/>
  <c r="Q237" i="22"/>
  <c r="M236" i="22"/>
  <c r="M235" i="22"/>
  <c r="M234" i="22"/>
  <c r="Q234" i="22"/>
  <c r="J233" i="22"/>
  <c r="M233" i="22"/>
  <c r="Q233" i="22"/>
  <c r="M232" i="22"/>
  <c r="M227" i="22"/>
  <c r="M221" i="22"/>
  <c r="Q221" i="22"/>
  <c r="M218" i="22"/>
  <c r="M213" i="22"/>
  <c r="M212" i="22"/>
  <c r="Q212" i="22"/>
  <c r="M211" i="22"/>
  <c r="Q211" i="22" s="1"/>
  <c r="M210" i="22"/>
  <c r="Q210" i="22"/>
  <c r="M209" i="22"/>
  <c r="Q209" i="22" s="1"/>
  <c r="M208" i="22"/>
  <c r="M207" i="22"/>
  <c r="Q207" i="22"/>
  <c r="M206" i="22"/>
  <c r="M205" i="22"/>
  <c r="Q205" i="22"/>
  <c r="M204" i="22"/>
  <c r="M203" i="22"/>
  <c r="Q203" i="22"/>
  <c r="M202" i="22"/>
  <c r="M201" i="22"/>
  <c r="Q201" i="22" s="1"/>
  <c r="M200" i="22"/>
  <c r="Q200" i="22" s="1"/>
  <c r="M199" i="22"/>
  <c r="Q199" i="22" s="1"/>
  <c r="M198" i="22"/>
  <c r="M197" i="22"/>
  <c r="Q197" i="22" s="1"/>
  <c r="M196" i="22"/>
  <c r="M195" i="22"/>
  <c r="Q195" i="22"/>
  <c r="J194" i="22"/>
  <c r="M194" i="22" s="1"/>
  <c r="Q194" i="22" s="1"/>
  <c r="M193" i="22"/>
  <c r="M192" i="22"/>
  <c r="Q192" i="22"/>
  <c r="M191" i="22"/>
  <c r="J190" i="22"/>
  <c r="M186" i="22"/>
  <c r="Q186" i="22"/>
  <c r="M185" i="22"/>
  <c r="Q185" i="22"/>
  <c r="M184" i="22"/>
  <c r="Q184" i="22" s="1"/>
  <c r="M183" i="22"/>
  <c r="Q183" i="22" s="1"/>
  <c r="M182" i="22"/>
  <c r="Q182" i="22"/>
  <c r="M181" i="22"/>
  <c r="M143" i="22"/>
  <c r="M142" i="22"/>
  <c r="Q142" i="22"/>
  <c r="M140" i="22"/>
  <c r="J126" i="22"/>
  <c r="J131" i="22" s="1"/>
  <c r="M122" i="22"/>
  <c r="M121" i="22"/>
  <c r="Q121" i="22" s="1"/>
  <c r="M120" i="22"/>
  <c r="Q120" i="22"/>
  <c r="M119" i="22"/>
  <c r="Q119" i="22" s="1"/>
  <c r="M118" i="22"/>
  <c r="Q118" i="22"/>
  <c r="M117" i="22"/>
  <c r="Q117" i="22" s="1"/>
  <c r="Q123" i="22" s="1"/>
  <c r="M54" i="22"/>
  <c r="Q54" i="22"/>
  <c r="Q55" i="22"/>
  <c r="M49" i="22"/>
  <c r="M50" i="22" s="1"/>
  <c r="M44" i="22"/>
  <c r="Q44" i="22"/>
  <c r="M43" i="22"/>
  <c r="Q43" i="22" s="1"/>
  <c r="M42" i="22"/>
  <c r="Q42" i="22" s="1"/>
  <c r="M41" i="22"/>
  <c r="Q41" i="22" s="1"/>
  <c r="M40" i="22"/>
  <c r="Q40" i="22"/>
  <c r="M39" i="22"/>
  <c r="Q39" i="22"/>
  <c r="M38" i="22"/>
  <c r="Q38" i="22" s="1"/>
  <c r="Q45" i="22" s="1"/>
  <c r="M37" i="22"/>
  <c r="Q37" i="22"/>
  <c r="M33" i="22"/>
  <c r="M32" i="22"/>
  <c r="Q32" i="22" s="1"/>
  <c r="M31" i="22"/>
  <c r="Q31" i="22"/>
  <c r="M30" i="22"/>
  <c r="Q30" i="22" s="1"/>
  <c r="M29" i="22"/>
  <c r="M28" i="22"/>
  <c r="Q28" i="22"/>
  <c r="M27" i="22"/>
  <c r="Q27" i="22" s="1"/>
  <c r="M26" i="22"/>
  <c r="Q26" i="22"/>
  <c r="M25" i="22"/>
  <c r="Q25" i="22" s="1"/>
  <c r="J21" i="22"/>
  <c r="M23" i="22"/>
  <c r="Q23" i="22"/>
  <c r="M22" i="22"/>
  <c r="Q22" i="22"/>
  <c r="M11" i="22"/>
  <c r="S14" i="22"/>
  <c r="S34" i="22"/>
  <c r="S55" i="22"/>
  <c r="S50" i="22"/>
  <c r="S57" i="22" s="1"/>
  <c r="S45" i="22"/>
  <c r="S131" i="22"/>
  <c r="S144" i="22"/>
  <c r="S153" i="22"/>
  <c r="S177" i="22" s="1"/>
  <c r="S123" i="22"/>
  <c r="S302" i="22"/>
  <c r="S293" i="22"/>
  <c r="S289" i="22"/>
  <c r="S285" i="22"/>
  <c r="S281" i="22"/>
  <c r="S270" i="22"/>
  <c r="S260" i="22"/>
  <c r="S252" i="22"/>
  <c r="S229" i="22"/>
  <c r="S224" i="22"/>
  <c r="S187" i="22"/>
  <c r="S297" i="22"/>
  <c r="S953" i="22"/>
  <c r="S945" i="22"/>
  <c r="S941" i="22"/>
  <c r="S935" i="22"/>
  <c r="S930" i="22"/>
  <c r="S898" i="22"/>
  <c r="S919" i="22"/>
  <c r="S887" i="22"/>
  <c r="S881" i="22"/>
  <c r="S877" i="22"/>
  <c r="S861" i="22"/>
  <c r="S849" i="22"/>
  <c r="S821" i="22"/>
  <c r="S810" i="22"/>
  <c r="S778" i="22"/>
  <c r="S747" i="22"/>
  <c r="S734" i="22"/>
  <c r="S714" i="22"/>
  <c r="S715" i="22" s="1"/>
  <c r="S780" i="22" s="1"/>
  <c r="S702" i="22"/>
  <c r="S691" i="22"/>
  <c r="S680" i="22"/>
  <c r="S669" i="22"/>
  <c r="S657" i="22"/>
  <c r="S642" i="22"/>
  <c r="S624" i="22"/>
  <c r="S620" i="22"/>
  <c r="S611" i="22"/>
  <c r="S562" i="22"/>
  <c r="S314" i="22"/>
  <c r="S329" i="22"/>
  <c r="S391" i="22"/>
  <c r="S370" i="22"/>
  <c r="S355" i="22"/>
  <c r="S338" i="22"/>
  <c r="S533" i="22"/>
  <c r="S520" i="22"/>
  <c r="S499" i="22"/>
  <c r="S479" i="22"/>
  <c r="S457" i="22"/>
  <c r="S437" i="22"/>
  <c r="S415" i="22"/>
  <c r="S539" i="22"/>
  <c r="S547" i="22"/>
  <c r="S555" i="22"/>
  <c r="S550" i="22"/>
  <c r="S317" i="22"/>
  <c r="Q29" i="22"/>
  <c r="Q33" i="22"/>
  <c r="Q122" i="22"/>
  <c r="Q143" i="22"/>
  <c r="M141" i="22"/>
  <c r="Q141" i="22" s="1"/>
  <c r="Q153" i="22"/>
  <c r="Q181" i="22"/>
  <c r="Q187" i="22" s="1"/>
  <c r="Q191" i="22"/>
  <c r="Q193" i="22"/>
  <c r="Q196" i="22"/>
  <c r="Q198" i="22"/>
  <c r="Q202" i="22"/>
  <c r="Q204" i="22"/>
  <c r="Q206" i="22"/>
  <c r="Q208" i="22"/>
  <c r="Q213" i="22"/>
  <c r="M219" i="22"/>
  <c r="Q219" i="22" s="1"/>
  <c r="M220" i="22"/>
  <c r="Q220" i="22"/>
  <c r="Q227" i="22"/>
  <c r="Q229" i="22" s="1"/>
  <c r="Q235" i="22"/>
  <c r="Q236" i="22"/>
  <c r="Q252" i="22" s="1"/>
  <c r="Q239" i="22"/>
  <c r="Q245" i="22"/>
  <c r="Q249" i="22"/>
  <c r="Q281" i="22"/>
  <c r="Q321" i="22"/>
  <c r="Q324" i="22"/>
  <c r="Q325" i="22"/>
  <c r="Q327" i="22"/>
  <c r="Q348" i="22"/>
  <c r="Q355" i="22"/>
  <c r="Q352" i="22"/>
  <c r="Q359" i="22"/>
  <c r="Q361" i="22"/>
  <c r="Q367" i="22"/>
  <c r="Q384" i="22"/>
  <c r="Q385" i="22"/>
  <c r="Q389" i="22"/>
  <c r="Q405" i="22"/>
  <c r="Q406" i="22"/>
  <c r="Q425" i="22"/>
  <c r="Q427" i="22"/>
  <c r="Q429" i="22"/>
  <c r="Q431" i="22"/>
  <c r="Q433" i="22"/>
  <c r="Q435" i="22"/>
  <c r="Q443" i="22"/>
  <c r="Q448" i="22"/>
  <c r="Q449" i="22"/>
  <c r="Q461" i="22"/>
  <c r="Q463" i="22"/>
  <c r="Q468" i="22"/>
  <c r="Q469" i="22"/>
  <c r="Q470" i="22"/>
  <c r="Q474" i="22"/>
  <c r="Q476" i="22"/>
  <c r="Q477" i="22"/>
  <c r="Q488" i="22"/>
  <c r="Q494" i="22"/>
  <c r="Q510" i="22"/>
  <c r="Q512" i="22"/>
  <c r="Q514" i="22"/>
  <c r="Q516" i="22"/>
  <c r="Q517" i="22"/>
  <c r="Q518" i="22"/>
  <c r="Q529" i="22"/>
  <c r="Q530" i="22"/>
  <c r="Q531" i="22"/>
  <c r="Q539" i="22"/>
  <c r="Q543" i="22"/>
  <c r="M544" i="22"/>
  <c r="M545" i="22"/>
  <c r="Q545" i="22" s="1"/>
  <c r="Q566" i="22"/>
  <c r="Q568" i="22"/>
  <c r="Q574" i="22"/>
  <c r="Q575" i="22"/>
  <c r="Q576" i="22"/>
  <c r="Q582" i="22"/>
  <c r="Q584" i="22"/>
  <c r="Q586" i="22"/>
  <c r="Q588" i="22"/>
  <c r="Q590" i="22"/>
  <c r="Q591" i="22"/>
  <c r="Q594" i="22"/>
  <c r="Q595" i="22"/>
  <c r="Q596" i="22"/>
  <c r="Q600" i="22"/>
  <c r="Q602" i="22"/>
  <c r="Q603" i="22"/>
  <c r="Q608" i="22"/>
  <c r="Q623" i="22"/>
  <c r="Q624" i="22"/>
  <c r="Q648" i="22"/>
  <c r="Q649" i="22"/>
  <c r="Q650" i="22"/>
  <c r="Q651" i="22"/>
  <c r="Q652" i="22"/>
  <c r="Q653" i="22"/>
  <c r="Q654" i="22"/>
  <c r="Q662" i="22"/>
  <c r="Q663" i="22"/>
  <c r="Q668" i="22"/>
  <c r="Q673" i="22"/>
  <c r="Q675" i="22"/>
  <c r="Q678" i="22"/>
  <c r="Q679" i="22"/>
  <c r="Q685" i="22"/>
  <c r="Q686" i="22"/>
  <c r="Q694" i="22"/>
  <c r="Q702" i="22" s="1"/>
  <c r="Q697" i="22"/>
  <c r="Q698" i="22"/>
  <c r="M706" i="22"/>
  <c r="Q706" i="22"/>
  <c r="M707" i="22"/>
  <c r="Q707" i="22" s="1"/>
  <c r="M708" i="22"/>
  <c r="Q708" i="22"/>
  <c r="M710" i="22"/>
  <c r="Q710" i="22" s="1"/>
  <c r="M711" i="22"/>
  <c r="Q711" i="22"/>
  <c r="Q718" i="22"/>
  <c r="Q719" i="22"/>
  <c r="Q721" i="22"/>
  <c r="Q722" i="22"/>
  <c r="Q723" i="22"/>
  <c r="Q725" i="22"/>
  <c r="Q726" i="22"/>
  <c r="Q727" i="22"/>
  <c r="Q729" i="22"/>
  <c r="Q730" i="22"/>
  <c r="Q737" i="22"/>
  <c r="Q739" i="22"/>
  <c r="Q741" i="22"/>
  <c r="Q743" i="22"/>
  <c r="Q745" i="22"/>
  <c r="Q750" i="22"/>
  <c r="Q753" i="22"/>
  <c r="Q754" i="22"/>
  <c r="Q756" i="22"/>
  <c r="Q757" i="22"/>
  <c r="Q760" i="22"/>
  <c r="Q765" i="22"/>
  <c r="Q768" i="22"/>
  <c r="Q773" i="22"/>
  <c r="Q775" i="22"/>
  <c r="Q783" i="22"/>
  <c r="Q784" i="22"/>
  <c r="Q786" i="22"/>
  <c r="Q787" i="22"/>
  <c r="Q789" i="22"/>
  <c r="Q797" i="22"/>
  <c r="Q798" i="22"/>
  <c r="Q800" i="22"/>
  <c r="Q801" i="22"/>
  <c r="Q802" i="22"/>
  <c r="Q805" i="22"/>
  <c r="Q808" i="22"/>
  <c r="Q817" i="22"/>
  <c r="Q821" i="22"/>
  <c r="Q825" i="22"/>
  <c r="Q826" i="22"/>
  <c r="Q827" i="22"/>
  <c r="Q829" i="22"/>
  <c r="Q830" i="22"/>
  <c r="Q831" i="22"/>
  <c r="Q837" i="22"/>
  <c r="Q849" i="22" s="1"/>
  <c r="Q839" i="22"/>
  <c r="Q841" i="22"/>
  <c r="Q843" i="22"/>
  <c r="Q844" i="22"/>
  <c r="Q845" i="22"/>
  <c r="Q847" i="22"/>
  <c r="Q848" i="22"/>
  <c r="Q855" i="22"/>
  <c r="Q861" i="22" s="1"/>
  <c r="Q857" i="22"/>
  <c r="Q858" i="22"/>
  <c r="Q859" i="22"/>
  <c r="Q864" i="22"/>
  <c r="Q865" i="22"/>
  <c r="Q866" i="22"/>
  <c r="Q867" i="22"/>
  <c r="Q868" i="22"/>
  <c r="Q869" i="22"/>
  <c r="Q871" i="22"/>
  <c r="Q872" i="22"/>
  <c r="Q873" i="22"/>
  <c r="Q880" i="22"/>
  <c r="Q881" i="22"/>
  <c r="Q884" i="22"/>
  <c r="Q887" i="22" s="1"/>
  <c r="Q885" i="22"/>
  <c r="Q886" i="22"/>
  <c r="Q891" i="22"/>
  <c r="Q898" i="22" s="1"/>
  <c r="Q892" i="22"/>
  <c r="Q893" i="22"/>
  <c r="Q894" i="22"/>
  <c r="Q895" i="22"/>
  <c r="Q896" i="22"/>
  <c r="Q897" i="22"/>
  <c r="Q901" i="22"/>
  <c r="Q902" i="22"/>
  <c r="Q903" i="22"/>
  <c r="Q904" i="22"/>
  <c r="Q906" i="22"/>
  <c r="Q907" i="22"/>
  <c r="Q908" i="22"/>
  <c r="Q910" i="22"/>
  <c r="Q911" i="22"/>
  <c r="Q912" i="22"/>
  <c r="Q914" i="22"/>
  <c r="Q915" i="22"/>
  <c r="Q916" i="22"/>
  <c r="Q918" i="22"/>
  <c r="Q928" i="22"/>
  <c r="Q930" i="22" s="1"/>
  <c r="Q934" i="22"/>
  <c r="Q935" i="22" s="1"/>
  <c r="Q562" i="22"/>
  <c r="Q952" i="22"/>
  <c r="Q953" i="22" s="1"/>
  <c r="Q945" i="22"/>
  <c r="Q941" i="22"/>
  <c r="O14" i="22"/>
  <c r="O34" i="22"/>
  <c r="O50" i="22"/>
  <c r="O55" i="22"/>
  <c r="O45" i="22"/>
  <c r="O57" i="22" s="1"/>
  <c r="O131" i="22"/>
  <c r="O153" i="22"/>
  <c r="O144" i="22"/>
  <c r="O123" i="22"/>
  <c r="O214" i="22"/>
  <c r="O302" i="22"/>
  <c r="O293" i="22"/>
  <c r="O289" i="22"/>
  <c r="O304" i="22" s="1"/>
  <c r="O285" i="22"/>
  <c r="O281" i="22"/>
  <c r="O270" i="22"/>
  <c r="O260" i="22"/>
  <c r="O252" i="22"/>
  <c r="O229" i="22"/>
  <c r="O224" i="22"/>
  <c r="O187" i="22"/>
  <c r="O297" i="22"/>
  <c r="O953" i="22"/>
  <c r="O945" i="22"/>
  <c r="O941" i="22"/>
  <c r="O935" i="22"/>
  <c r="O930" i="22"/>
  <c r="O898" i="22"/>
  <c r="O919" i="22"/>
  <c r="O921" i="22" s="1"/>
  <c r="O887" i="22"/>
  <c r="O881" i="22"/>
  <c r="O877" i="22"/>
  <c r="O861" i="22"/>
  <c r="O849" i="22"/>
  <c r="O821" i="22"/>
  <c r="O810" i="22"/>
  <c r="O778" i="22"/>
  <c r="O747" i="22"/>
  <c r="O734" i="22"/>
  <c r="O714" i="22"/>
  <c r="O702" i="22"/>
  <c r="O715" i="22" s="1"/>
  <c r="O691" i="22"/>
  <c r="O680" i="22"/>
  <c r="O669" i="22"/>
  <c r="O657" i="22"/>
  <c r="O642" i="22"/>
  <c r="O624" i="22"/>
  <c r="O620" i="22"/>
  <c r="O611" i="22"/>
  <c r="O562" i="22"/>
  <c r="O314" i="22"/>
  <c r="O329" i="22"/>
  <c r="O391" i="22"/>
  <c r="O393" i="22" s="1"/>
  <c r="O370" i="22"/>
  <c r="O355" i="22"/>
  <c r="O338" i="22"/>
  <c r="O533" i="22"/>
  <c r="O535" i="22" s="1"/>
  <c r="O520" i="22"/>
  <c r="O499" i="22"/>
  <c r="O479" i="22"/>
  <c r="O457" i="22"/>
  <c r="O437" i="22"/>
  <c r="O415" i="22"/>
  <c r="O539" i="22"/>
  <c r="O547" i="22"/>
  <c r="O555" i="22"/>
  <c r="O550" i="22"/>
  <c r="O317" i="22"/>
  <c r="M55" i="22"/>
  <c r="M153" i="22"/>
  <c r="M229" i="22"/>
  <c r="M281" i="22"/>
  <c r="M293" i="22"/>
  <c r="M297" i="22"/>
  <c r="M539" i="22"/>
  <c r="M550" i="22"/>
  <c r="M624" i="22"/>
  <c r="M642" i="22"/>
  <c r="M821" i="22"/>
  <c r="M881" i="22"/>
  <c r="M887" i="22"/>
  <c r="M930" i="22"/>
  <c r="M935" i="22"/>
  <c r="M562" i="22"/>
  <c r="M953" i="22"/>
  <c r="M945" i="22"/>
  <c r="M941" i="22"/>
  <c r="J153" i="22"/>
  <c r="J144" i="22"/>
  <c r="J123" i="22"/>
  <c r="J302" i="22"/>
  <c r="J304" i="22" s="1"/>
  <c r="J293" i="22"/>
  <c r="J289" i="22"/>
  <c r="J285" i="22"/>
  <c r="J281" i="22"/>
  <c r="J270" i="22"/>
  <c r="J260" i="22"/>
  <c r="J229" i="22"/>
  <c r="J224" i="22"/>
  <c r="J187" i="22"/>
  <c r="J297" i="22"/>
  <c r="J953" i="22"/>
  <c r="J945" i="22"/>
  <c r="J941" i="22"/>
  <c r="J935" i="22"/>
  <c r="J930" i="22"/>
  <c r="J898" i="22"/>
  <c r="J919" i="22"/>
  <c r="J887" i="22"/>
  <c r="J881" i="22"/>
  <c r="J877" i="22"/>
  <c r="J861" i="22"/>
  <c r="J849" i="22"/>
  <c r="J821" i="22"/>
  <c r="J810" i="22"/>
  <c r="J778" i="22"/>
  <c r="J747" i="22"/>
  <c r="J734" i="22"/>
  <c r="J714" i="22"/>
  <c r="J702" i="22"/>
  <c r="J691" i="22"/>
  <c r="J680" i="22"/>
  <c r="J669" i="22"/>
  <c r="J657" i="22"/>
  <c r="J642" i="22"/>
  <c r="J624" i="22"/>
  <c r="J620" i="22"/>
  <c r="J562" i="22"/>
  <c r="J314" i="22"/>
  <c r="J329" i="22"/>
  <c r="J391" i="22"/>
  <c r="J370" i="22"/>
  <c r="J393" i="22" s="1"/>
  <c r="J355" i="22"/>
  <c r="J338" i="22"/>
  <c r="J533" i="22"/>
  <c r="J437" i="22"/>
  <c r="J539" i="22"/>
  <c r="J547" i="22"/>
  <c r="J555" i="22"/>
  <c r="J317" i="22"/>
  <c r="J55" i="22"/>
  <c r="J50" i="22"/>
  <c r="J45" i="22"/>
  <c r="J14" i="22"/>
  <c r="H153" i="22"/>
  <c r="H144" i="22"/>
  <c r="H131" i="22"/>
  <c r="H123" i="22"/>
  <c r="H177" i="22" s="1"/>
  <c r="H203" i="22"/>
  <c r="H214" i="22" s="1"/>
  <c r="H302" i="22"/>
  <c r="H293" i="22"/>
  <c r="H289" i="22"/>
  <c r="H285" i="22"/>
  <c r="H281" i="22"/>
  <c r="H270" i="22"/>
  <c r="H260" i="22"/>
  <c r="H252" i="22"/>
  <c r="H229" i="22"/>
  <c r="H224" i="22"/>
  <c r="H187" i="22"/>
  <c r="H297" i="22"/>
  <c r="H952" i="22"/>
  <c r="H953" i="22" s="1"/>
  <c r="H945" i="22"/>
  <c r="H941" i="22"/>
  <c r="H935" i="22"/>
  <c r="H930" i="22"/>
  <c r="H898" i="22"/>
  <c r="H921" i="22"/>
  <c r="H919" i="22"/>
  <c r="H887" i="22"/>
  <c r="H881" i="22"/>
  <c r="H877" i="22"/>
  <c r="H861" i="22"/>
  <c r="H849" i="22"/>
  <c r="H821" i="22"/>
  <c r="H788" i="22"/>
  <c r="H791" i="22"/>
  <c r="H778" i="22"/>
  <c r="H747" i="22"/>
  <c r="H734" i="22"/>
  <c r="H712" i="22"/>
  <c r="H714" i="22" s="1"/>
  <c r="H702" i="22"/>
  <c r="H691" i="22"/>
  <c r="H715" i="22" s="1"/>
  <c r="H780" i="22" s="1"/>
  <c r="H680" i="22"/>
  <c r="H669" i="22"/>
  <c r="H657" i="22"/>
  <c r="H642" i="22"/>
  <c r="H624" i="22"/>
  <c r="H620" i="22"/>
  <c r="H601" i="22"/>
  <c r="H611" i="22"/>
  <c r="H562" i="22"/>
  <c r="H314" i="22"/>
  <c r="H329" i="22"/>
  <c r="H391" i="22"/>
  <c r="H393" i="22" s="1"/>
  <c r="H370" i="22"/>
  <c r="H355" i="22"/>
  <c r="H338" i="22"/>
  <c r="H533" i="22"/>
  <c r="H520" i="22"/>
  <c r="H499" i="22"/>
  <c r="H462" i="22"/>
  <c r="H479" i="22" s="1"/>
  <c r="H477" i="22"/>
  <c r="H457" i="22"/>
  <c r="H437" i="22"/>
  <c r="H399" i="22"/>
  <c r="H415" i="22" s="1"/>
  <c r="H539" i="22"/>
  <c r="H547" i="22"/>
  <c r="H555" i="22"/>
  <c r="H550" i="22"/>
  <c r="H317" i="22"/>
  <c r="H55" i="22"/>
  <c r="H50" i="22"/>
  <c r="H45" i="22"/>
  <c r="H34" i="22"/>
  <c r="H14" i="22"/>
  <c r="F153" i="22"/>
  <c r="F144" i="22"/>
  <c r="F131" i="22"/>
  <c r="F123" i="22"/>
  <c r="F214" i="22"/>
  <c r="F302" i="22"/>
  <c r="F293" i="22"/>
  <c r="F289" i="22"/>
  <c r="F285" i="22"/>
  <c r="F281" i="22"/>
  <c r="F270" i="22"/>
  <c r="F260" i="22"/>
  <c r="F252" i="22"/>
  <c r="F229" i="22"/>
  <c r="F224" i="22"/>
  <c r="F187" i="22"/>
  <c r="F297" i="22"/>
  <c r="F953" i="22"/>
  <c r="F945" i="22"/>
  <c r="F941" i="22"/>
  <c r="F935" i="22"/>
  <c r="F930" i="22"/>
  <c r="F898" i="22"/>
  <c r="F919" i="22"/>
  <c r="F887" i="22"/>
  <c r="F881" i="22"/>
  <c r="F877" i="22"/>
  <c r="F861" i="22"/>
  <c r="F849" i="22"/>
  <c r="F821" i="22"/>
  <c r="F788" i="22"/>
  <c r="F810" i="22" s="1"/>
  <c r="F791" i="22"/>
  <c r="F778" i="22"/>
  <c r="F747" i="22"/>
  <c r="F734" i="22"/>
  <c r="F712" i="22"/>
  <c r="F714" i="22" s="1"/>
  <c r="F702" i="22"/>
  <c r="F691" i="22"/>
  <c r="F680" i="22"/>
  <c r="F669" i="22"/>
  <c r="F715" i="22"/>
  <c r="F780" i="22" s="1"/>
  <c r="F657" i="22"/>
  <c r="F642" i="22"/>
  <c r="F624" i="22"/>
  <c r="F620" i="22"/>
  <c r="F611" i="22"/>
  <c r="F562" i="22"/>
  <c r="F314" i="22"/>
  <c r="F329" i="22"/>
  <c r="F391" i="22"/>
  <c r="F370" i="22"/>
  <c r="F355" i="22"/>
  <c r="F338" i="22"/>
  <c r="F533" i="22"/>
  <c r="F504" i="22"/>
  <c r="F520" i="22" s="1"/>
  <c r="F499" i="22"/>
  <c r="F462" i="22"/>
  <c r="F479" i="22" s="1"/>
  <c r="F457" i="22"/>
  <c r="F420" i="22"/>
  <c r="F437" i="22"/>
  <c r="F399" i="22"/>
  <c r="F415" i="22" s="1"/>
  <c r="F410" i="22"/>
  <c r="F539" i="22"/>
  <c r="F547" i="22"/>
  <c r="F555" i="22"/>
  <c r="F317" i="22"/>
  <c r="F55" i="22"/>
  <c r="F57" i="22" s="1"/>
  <c r="F50" i="22"/>
  <c r="F45" i="22"/>
  <c r="F34" i="22"/>
  <c r="F14" i="22"/>
  <c r="H57" i="15"/>
  <c r="H56" i="15"/>
  <c r="H58" i="15"/>
  <c r="G53" i="15"/>
  <c r="F53" i="15"/>
  <c r="E53" i="15"/>
  <c r="D53" i="15"/>
  <c r="H53" i="15" s="1"/>
  <c r="G52" i="15"/>
  <c r="G54" i="15" s="1"/>
  <c r="F52" i="15"/>
  <c r="F54" i="15"/>
  <c r="E52" i="15"/>
  <c r="H52" i="15" s="1"/>
  <c r="D52" i="15"/>
  <c r="G50" i="15"/>
  <c r="F50" i="15"/>
  <c r="E50" i="15"/>
  <c r="D50" i="15"/>
  <c r="H49" i="15"/>
  <c r="H48" i="15"/>
  <c r="H50" i="15"/>
  <c r="G26" i="15"/>
  <c r="F26" i="15"/>
  <c r="E26" i="15"/>
  <c r="D26" i="15"/>
  <c r="H25" i="15"/>
  <c r="H24" i="15"/>
  <c r="G22" i="15"/>
  <c r="F22" i="15"/>
  <c r="E22" i="15"/>
  <c r="D22" i="15"/>
  <c r="H21" i="15"/>
  <c r="H20" i="15"/>
  <c r="H22" i="15" s="1"/>
  <c r="G18" i="15"/>
  <c r="F18" i="15"/>
  <c r="E18" i="15"/>
  <c r="D18" i="15"/>
  <c r="H17" i="15"/>
  <c r="H16" i="15"/>
  <c r="H18" i="15"/>
  <c r="G58" i="15"/>
  <c r="F58" i="15"/>
  <c r="E58" i="15"/>
  <c r="D58" i="15"/>
  <c r="G46" i="15"/>
  <c r="F46" i="15"/>
  <c r="E46" i="15"/>
  <c r="D46" i="15"/>
  <c r="H45" i="15"/>
  <c r="H46" i="15" s="1"/>
  <c r="H44" i="15"/>
  <c r="G42" i="15"/>
  <c r="F42" i="15"/>
  <c r="E42" i="15"/>
  <c r="D42" i="15"/>
  <c r="H41" i="15"/>
  <c r="H40" i="15"/>
  <c r="H42" i="15" s="1"/>
  <c r="G38" i="15"/>
  <c r="F38" i="15"/>
  <c r="E38" i="15"/>
  <c r="D38" i="15"/>
  <c r="H37" i="15"/>
  <c r="H38" i="15" s="1"/>
  <c r="H36" i="15"/>
  <c r="G34" i="15"/>
  <c r="F34" i="15"/>
  <c r="E34" i="15"/>
  <c r="D34" i="15"/>
  <c r="H33" i="15"/>
  <c r="H32" i="15"/>
  <c r="H34" i="15" s="1"/>
  <c r="G30" i="15"/>
  <c r="F30" i="15"/>
  <c r="E30" i="15"/>
  <c r="D30" i="15"/>
  <c r="H29" i="15"/>
  <c r="H28" i="15"/>
  <c r="G14" i="15"/>
  <c r="F14" i="15"/>
  <c r="E14" i="15"/>
  <c r="D14" i="15"/>
  <c r="H13" i="15"/>
  <c r="H12" i="15"/>
  <c r="H14" i="15" s="1"/>
  <c r="G10" i="15"/>
  <c r="F10" i="15"/>
  <c r="E10" i="15"/>
  <c r="D10" i="15"/>
  <c r="H9" i="15"/>
  <c r="H8" i="15"/>
  <c r="H42" i="14"/>
  <c r="G42" i="14"/>
  <c r="F42" i="14"/>
  <c r="E42" i="14"/>
  <c r="D42" i="14"/>
  <c r="G37" i="14"/>
  <c r="F37" i="14"/>
  <c r="F38" i="14" s="1"/>
  <c r="E37" i="14"/>
  <c r="G36" i="14"/>
  <c r="G38" i="14" s="1"/>
  <c r="F36" i="14"/>
  <c r="E36" i="14"/>
  <c r="E38" i="14" s="1"/>
  <c r="D37" i="14"/>
  <c r="D38" i="14"/>
  <c r="D36" i="14"/>
  <c r="G34" i="14"/>
  <c r="F34" i="14"/>
  <c r="E34" i="14"/>
  <c r="D34" i="14"/>
  <c r="H33" i="14"/>
  <c r="H32" i="14"/>
  <c r="H34" i="14" s="1"/>
  <c r="G30" i="14"/>
  <c r="F30" i="14"/>
  <c r="E30" i="14"/>
  <c r="D30" i="14"/>
  <c r="H29" i="14"/>
  <c r="H28" i="14"/>
  <c r="H30" i="14" s="1"/>
  <c r="G26" i="14"/>
  <c r="F26" i="14"/>
  <c r="E26" i="14"/>
  <c r="D26" i="14"/>
  <c r="H25" i="14"/>
  <c r="H24" i="14"/>
  <c r="H26" i="14"/>
  <c r="G22" i="14"/>
  <c r="F22" i="14"/>
  <c r="E22" i="14"/>
  <c r="D22" i="14"/>
  <c r="H21" i="14"/>
  <c r="H22" i="14" s="1"/>
  <c r="H20" i="14"/>
  <c r="G18" i="14"/>
  <c r="F18" i="14"/>
  <c r="E18" i="14"/>
  <c r="D18" i="14"/>
  <c r="H17" i="14"/>
  <c r="H37" i="14" s="1"/>
  <c r="H16" i="14"/>
  <c r="G14" i="14"/>
  <c r="F14" i="14"/>
  <c r="E14" i="14"/>
  <c r="D14" i="14"/>
  <c r="H13" i="14"/>
  <c r="H12" i="14"/>
  <c r="H14" i="14"/>
  <c r="G10" i="14"/>
  <c r="F10" i="14"/>
  <c r="E10" i="14"/>
  <c r="D10" i="14"/>
  <c r="H9" i="14"/>
  <c r="H8" i="14"/>
  <c r="F14" i="13"/>
  <c r="E33" i="13"/>
  <c r="D175" i="11"/>
  <c r="D176" i="11"/>
  <c r="D172" i="11"/>
  <c r="F311" i="11"/>
  <c r="F321" i="11" s="1"/>
  <c r="F323" i="11" s="1"/>
  <c r="F153" i="11"/>
  <c r="F156" i="11" s="1"/>
  <c r="F157" i="11" s="1"/>
  <c r="F159" i="11" s="1"/>
  <c r="F130" i="11" s="1"/>
  <c r="D215" i="11"/>
  <c r="D226" i="11" s="1"/>
  <c r="D312" i="11"/>
  <c r="D321" i="11"/>
  <c r="D323" i="11" s="1"/>
  <c r="D308" i="11" s="1"/>
  <c r="D287" i="11"/>
  <c r="D291" i="11" s="1"/>
  <c r="D296" i="11" s="1"/>
  <c r="D279" i="11" s="1"/>
  <c r="D290" i="11"/>
  <c r="D265" i="11"/>
  <c r="D273" i="11" s="1"/>
  <c r="D277" i="11" s="1"/>
  <c r="D243" i="11" s="1"/>
  <c r="D276" i="11"/>
  <c r="D268" i="11"/>
  <c r="D274" i="11"/>
  <c r="C265" i="11"/>
  <c r="C274" i="11"/>
  <c r="C210" i="11"/>
  <c r="C233" i="11"/>
  <c r="C234" i="11" s="1"/>
  <c r="C230" i="11"/>
  <c r="D234" i="11"/>
  <c r="D170" i="11"/>
  <c r="D154" i="11"/>
  <c r="D156" i="11" s="1"/>
  <c r="D157" i="11" s="1"/>
  <c r="D159" i="11" s="1"/>
  <c r="D130" i="11" s="1"/>
  <c r="D158" i="11"/>
  <c r="D155" i="11"/>
  <c r="D142" i="11"/>
  <c r="D98" i="11"/>
  <c r="D104" i="11" s="1"/>
  <c r="D92" i="11" s="1"/>
  <c r="D123" i="11" s="1"/>
  <c r="D96" i="11"/>
  <c r="D101" i="11"/>
  <c r="C101" i="11"/>
  <c r="D73" i="11"/>
  <c r="D79" i="11"/>
  <c r="D86" i="11"/>
  <c r="D66" i="11" s="1"/>
  <c r="D71" i="11"/>
  <c r="D32" i="11"/>
  <c r="D33" i="11"/>
  <c r="D34" i="11"/>
  <c r="D36" i="11"/>
  <c r="E43" i="11"/>
  <c r="E47" i="11" s="1"/>
  <c r="D12" i="11"/>
  <c r="D13" i="11" s="1"/>
  <c r="D6" i="11" s="1"/>
  <c r="D21" i="11" s="1"/>
  <c r="F308" i="11"/>
  <c r="E321" i="11"/>
  <c r="E323" i="11" s="1"/>
  <c r="E308" i="11"/>
  <c r="C321" i="11"/>
  <c r="C323" i="11" s="1"/>
  <c r="C308" i="11" s="1"/>
  <c r="F295" i="11"/>
  <c r="E295" i="11"/>
  <c r="C295" i="11"/>
  <c r="F290" i="11"/>
  <c r="E290" i="11"/>
  <c r="C290" i="11"/>
  <c r="F287" i="11"/>
  <c r="F291" i="11" s="1"/>
  <c r="E287" i="11"/>
  <c r="E291" i="11" s="1"/>
  <c r="E296" i="11" s="1"/>
  <c r="E279" i="11" s="1"/>
  <c r="E332" i="11" s="1"/>
  <c r="C287" i="11"/>
  <c r="F273" i="11"/>
  <c r="F277" i="11" s="1"/>
  <c r="F243" i="11" s="1"/>
  <c r="E273" i="11"/>
  <c r="E277" i="11" s="1"/>
  <c r="E243" i="11" s="1"/>
  <c r="C273" i="11"/>
  <c r="C277" i="11"/>
  <c r="C243" i="11"/>
  <c r="F234" i="11"/>
  <c r="F235" i="11" s="1"/>
  <c r="F195" i="11" s="1"/>
  <c r="E234" i="11"/>
  <c r="E226" i="11"/>
  <c r="C218" i="11"/>
  <c r="F226" i="11"/>
  <c r="C179" i="11"/>
  <c r="C182" i="11"/>
  <c r="C162" i="11" s="1"/>
  <c r="F178" i="11"/>
  <c r="F179" i="11"/>
  <c r="F182" i="11"/>
  <c r="F162" i="11" s="1"/>
  <c r="E178" i="11"/>
  <c r="E179" i="11"/>
  <c r="E182" i="11"/>
  <c r="E162" i="11" s="1"/>
  <c r="E156" i="11"/>
  <c r="C156" i="11"/>
  <c r="C157" i="11" s="1"/>
  <c r="C159" i="11" s="1"/>
  <c r="C130" i="11" s="1"/>
  <c r="F149" i="11"/>
  <c r="E149" i="11"/>
  <c r="C149" i="11"/>
  <c r="D149" i="11"/>
  <c r="F142" i="11"/>
  <c r="E142" i="11"/>
  <c r="C142" i="11"/>
  <c r="C104" i="11"/>
  <c r="C92" i="11"/>
  <c r="F98" i="11"/>
  <c r="F104" i="11" s="1"/>
  <c r="F92" i="11" s="1"/>
  <c r="F123" i="11" s="1"/>
  <c r="E98" i="11"/>
  <c r="E104" i="11" s="1"/>
  <c r="E92" i="11"/>
  <c r="E123" i="11" s="1"/>
  <c r="C86" i="11"/>
  <c r="C66" i="11" s="1"/>
  <c r="F79" i="11"/>
  <c r="F86" i="11"/>
  <c r="F66" i="11"/>
  <c r="E79" i="11"/>
  <c r="E86" i="11" s="1"/>
  <c r="E66" i="11" s="1"/>
  <c r="F61" i="11"/>
  <c r="E61" i="11"/>
  <c r="D61" i="11"/>
  <c r="C61" i="11"/>
  <c r="F39" i="11"/>
  <c r="F40" i="11" s="1"/>
  <c r="F25" i="11" s="1"/>
  <c r="F47" i="11"/>
  <c r="E39" i="11"/>
  <c r="E40" i="11" s="1"/>
  <c r="E25" i="11" s="1"/>
  <c r="C39" i="11"/>
  <c r="C40" i="11"/>
  <c r="C25" i="11" s="1"/>
  <c r="C47" i="11" s="1"/>
  <c r="F17" i="11"/>
  <c r="E17" i="11"/>
  <c r="F10" i="11"/>
  <c r="F13" i="11" s="1"/>
  <c r="F6" i="11"/>
  <c r="F21" i="11"/>
  <c r="E10" i="11"/>
  <c r="E13" i="11" s="1"/>
  <c r="E6" i="11" s="1"/>
  <c r="E21" i="11" s="1"/>
  <c r="C10" i="11"/>
  <c r="C13" i="11" s="1"/>
  <c r="C6" i="11" s="1"/>
  <c r="C21" i="11"/>
  <c r="E17" i="10"/>
  <c r="E25" i="10"/>
  <c r="E24" i="10"/>
  <c r="E23" i="10"/>
  <c r="E22" i="10"/>
  <c r="E21" i="10"/>
  <c r="E20" i="10"/>
  <c r="E19" i="10"/>
  <c r="E18" i="10"/>
  <c r="E7" i="10"/>
  <c r="E8" i="10"/>
  <c r="E9" i="10"/>
  <c r="E10" i="10"/>
  <c r="E11" i="10"/>
  <c r="E12" i="10"/>
  <c r="E13" i="10"/>
  <c r="E14" i="10"/>
  <c r="E15" i="10"/>
  <c r="E16" i="10"/>
  <c r="E6" i="10"/>
  <c r="J31" i="9"/>
  <c r="J30" i="9"/>
  <c r="J18" i="9"/>
  <c r="E21" i="7"/>
  <c r="F21" i="7" s="1"/>
  <c r="E20" i="7"/>
  <c r="F20" i="7" s="1"/>
  <c r="E19" i="7"/>
  <c r="F19" i="7"/>
  <c r="E18" i="7"/>
  <c r="F18" i="7" s="1"/>
  <c r="E17" i="7"/>
  <c r="F17" i="7"/>
  <c r="E3" i="7"/>
  <c r="F3" i="7" s="1"/>
  <c r="E4" i="7"/>
  <c r="F4" i="7" s="1"/>
  <c r="E5" i="7"/>
  <c r="F5" i="7" s="1"/>
  <c r="E6" i="7"/>
  <c r="F6" i="7" s="1"/>
  <c r="E7" i="7"/>
  <c r="F7" i="7" s="1"/>
  <c r="E8" i="7"/>
  <c r="F8" i="7"/>
  <c r="E9" i="7"/>
  <c r="F9" i="7" s="1"/>
  <c r="E10" i="7"/>
  <c r="F10" i="7"/>
  <c r="E11" i="7"/>
  <c r="F11" i="7" s="1"/>
  <c r="E12" i="7"/>
  <c r="F12" i="7" s="1"/>
  <c r="E13" i="7"/>
  <c r="F13" i="7" s="1"/>
  <c r="E14" i="7"/>
  <c r="F14" i="7" s="1"/>
  <c r="E15" i="7"/>
  <c r="F15" i="7" s="1"/>
  <c r="E2" i="7"/>
  <c r="F2" i="7"/>
  <c r="E16" i="7"/>
  <c r="F16" i="7" s="1"/>
  <c r="E23" i="7"/>
  <c r="F23" i="7"/>
  <c r="C11" i="5"/>
  <c r="C14" i="5" s="1"/>
  <c r="C7" i="5" s="1"/>
  <c r="C22" i="5" s="1"/>
  <c r="E11" i="5"/>
  <c r="E14" i="5" s="1"/>
  <c r="E7" i="5"/>
  <c r="F11" i="5"/>
  <c r="F14" i="5" s="1"/>
  <c r="F7" i="5" s="1"/>
  <c r="D13" i="5"/>
  <c r="D14" i="5"/>
  <c r="D7" i="5" s="1"/>
  <c r="D22" i="5" s="1"/>
  <c r="E18" i="5"/>
  <c r="E22" i="5" s="1"/>
  <c r="F18" i="5"/>
  <c r="D36" i="5"/>
  <c r="D40" i="5" s="1"/>
  <c r="C37" i="5"/>
  <c r="C40" i="5" s="1"/>
  <c r="C41" i="5" s="1"/>
  <c r="C26" i="5" s="1"/>
  <c r="C50" i="5" s="1"/>
  <c r="D37" i="5"/>
  <c r="D41" i="5"/>
  <c r="D26" i="5" s="1"/>
  <c r="D50" i="5" s="1"/>
  <c r="E40" i="5"/>
  <c r="F40" i="5"/>
  <c r="F41" i="5"/>
  <c r="F26" i="5" s="1"/>
  <c r="F50" i="5" s="1"/>
  <c r="E41" i="5"/>
  <c r="E26" i="5" s="1"/>
  <c r="E50" i="5" s="1"/>
  <c r="C62" i="5"/>
  <c r="C64" i="5"/>
  <c r="D64" i="5"/>
  <c r="E64" i="5"/>
  <c r="F64" i="5"/>
  <c r="D74" i="5"/>
  <c r="D89" i="5" s="1"/>
  <c r="D69" i="5" s="1"/>
  <c r="D75" i="5"/>
  <c r="D77" i="5"/>
  <c r="D82" i="5"/>
  <c r="E82" i="5"/>
  <c r="E89" i="5" s="1"/>
  <c r="E69" i="5" s="1"/>
  <c r="F82" i="5"/>
  <c r="C89" i="5"/>
  <c r="C69" i="5"/>
  <c r="F89" i="5"/>
  <c r="F69" i="5" s="1"/>
  <c r="E101" i="5"/>
  <c r="E107" i="5" s="1"/>
  <c r="E95" i="5" s="1"/>
  <c r="E126" i="5" s="1"/>
  <c r="F101" i="5"/>
  <c r="F107" i="5" s="1"/>
  <c r="F95" i="5" s="1"/>
  <c r="F126" i="5" s="1"/>
  <c r="D104" i="5"/>
  <c r="C107" i="5"/>
  <c r="C95" i="5" s="1"/>
  <c r="D107" i="5"/>
  <c r="D95" i="5"/>
  <c r="C145" i="5"/>
  <c r="D145" i="5"/>
  <c r="E145" i="5"/>
  <c r="F145" i="5"/>
  <c r="F160" i="5" s="1"/>
  <c r="D151" i="5"/>
  <c r="C152" i="5"/>
  <c r="D152" i="5"/>
  <c r="E152" i="5"/>
  <c r="F152" i="5"/>
  <c r="D158" i="5"/>
  <c r="D159" i="5"/>
  <c r="D160" i="5" s="1"/>
  <c r="D162" i="5" s="1"/>
  <c r="D133" i="5" s="1"/>
  <c r="C159" i="5"/>
  <c r="C160" i="5" s="1"/>
  <c r="E159" i="5"/>
  <c r="E160" i="5" s="1"/>
  <c r="E162" i="5" s="1"/>
  <c r="E133" i="5" s="1"/>
  <c r="E192" i="5" s="1"/>
  <c r="F159" i="5"/>
  <c r="F162" i="5"/>
  <c r="F133" i="5"/>
  <c r="C162" i="5"/>
  <c r="C133" i="5" s="1"/>
  <c r="D161" i="5"/>
  <c r="D169" i="5"/>
  <c r="D182" i="5"/>
  <c r="D185" i="5" s="1"/>
  <c r="D165" i="5" s="1"/>
  <c r="E181" i="5"/>
  <c r="E182" i="5"/>
  <c r="E185" i="5"/>
  <c r="E165" i="5"/>
  <c r="F181" i="5"/>
  <c r="F182" i="5"/>
  <c r="F185" i="5"/>
  <c r="F165" i="5"/>
  <c r="F192" i="5" s="1"/>
  <c r="C182" i="5"/>
  <c r="C185" i="5"/>
  <c r="C165" i="5"/>
  <c r="C206" i="5"/>
  <c r="E206" i="5"/>
  <c r="E227" i="5"/>
  <c r="F206" i="5"/>
  <c r="C216" i="5"/>
  <c r="D216" i="5"/>
  <c r="D227" i="5" s="1"/>
  <c r="E217" i="5"/>
  <c r="C219" i="5"/>
  <c r="C227" i="5" s="1"/>
  <c r="D221" i="5"/>
  <c r="F227" i="5"/>
  <c r="D229" i="5"/>
  <c r="D235" i="5" s="1"/>
  <c r="D236" i="5" s="1"/>
  <c r="D196" i="5" s="1"/>
  <c r="C234" i="5"/>
  <c r="C235" i="5"/>
  <c r="E234" i="5"/>
  <c r="E235" i="5"/>
  <c r="E236" i="5" s="1"/>
  <c r="E196" i="5" s="1"/>
  <c r="F234" i="5"/>
  <c r="F235" i="5"/>
  <c r="F236" i="5" s="1"/>
  <c r="F196" i="5" s="1"/>
  <c r="D256" i="5"/>
  <c r="D257" i="5"/>
  <c r="D266" i="5"/>
  <c r="D274" i="5" s="1"/>
  <c r="D278" i="5" s="1"/>
  <c r="D244" i="5" s="1"/>
  <c r="D268" i="5"/>
  <c r="C274" i="5"/>
  <c r="E274" i="5"/>
  <c r="E278" i="5" s="1"/>
  <c r="E244" i="5" s="1"/>
  <c r="F274" i="5"/>
  <c r="F278" i="5" s="1"/>
  <c r="F244" i="5" s="1"/>
  <c r="C275" i="5"/>
  <c r="C278" i="5" s="1"/>
  <c r="C244" i="5" s="1"/>
  <c r="D275" i="5"/>
  <c r="E275" i="5"/>
  <c r="F275" i="5"/>
  <c r="D276" i="5"/>
  <c r="D277" i="5"/>
  <c r="D285" i="5"/>
  <c r="C288" i="5"/>
  <c r="C292" i="5" s="1"/>
  <c r="C297" i="5" s="1"/>
  <c r="C280" i="5" s="1"/>
  <c r="D288" i="5"/>
  <c r="D292" i="5" s="1"/>
  <c r="D297" i="5" s="1"/>
  <c r="D280" i="5" s="1"/>
  <c r="E288" i="5"/>
  <c r="E292" i="5" s="1"/>
  <c r="E297" i="5" s="1"/>
  <c r="E280" i="5" s="1"/>
  <c r="F288" i="5"/>
  <c r="F292" i="5"/>
  <c r="F297" i="5"/>
  <c r="F280" i="5" s="1"/>
  <c r="D290" i="5"/>
  <c r="C291" i="5"/>
  <c r="E291" i="5"/>
  <c r="F291" i="5"/>
  <c r="D294" i="5"/>
  <c r="D296" i="5"/>
  <c r="C296" i="5"/>
  <c r="E296" i="5"/>
  <c r="F296" i="5"/>
  <c r="C322" i="5"/>
  <c r="C324" i="5"/>
  <c r="C309" i="5"/>
  <c r="D322" i="5"/>
  <c r="D324" i="5"/>
  <c r="D309" i="5" s="1"/>
  <c r="E322" i="5"/>
  <c r="E324" i="5"/>
  <c r="E309" i="5"/>
  <c r="F322" i="5"/>
  <c r="F324" i="5"/>
  <c r="F309" i="5"/>
  <c r="C335" i="5"/>
  <c r="D335" i="5"/>
  <c r="C7" i="8"/>
  <c r="C8" i="8"/>
  <c r="D7" i="8"/>
  <c r="E7" i="8"/>
  <c r="F7" i="8"/>
  <c r="F8" i="8"/>
  <c r="D8" i="8"/>
  <c r="E8" i="8"/>
  <c r="C11" i="8"/>
  <c r="C12" i="8" s="1"/>
  <c r="D11" i="8"/>
  <c r="D12" i="8" s="1"/>
  <c r="E11" i="8"/>
  <c r="E12" i="8"/>
  <c r="F11" i="8"/>
  <c r="F12" i="8" s="1"/>
  <c r="C17" i="8"/>
  <c r="C18" i="8"/>
  <c r="D17" i="8"/>
  <c r="D18" i="8" s="1"/>
  <c r="E17" i="8"/>
  <c r="E18" i="8"/>
  <c r="F17" i="8"/>
  <c r="F18" i="8" s="1"/>
  <c r="C22" i="8"/>
  <c r="D23" i="8" s="1"/>
  <c r="D24" i="8" s="1"/>
  <c r="C30" i="8"/>
  <c r="B23" i="8"/>
  <c r="B24" i="8"/>
  <c r="B27" i="8"/>
  <c r="B28" i="8" s="1"/>
  <c r="C27" i="8"/>
  <c r="C28" i="8"/>
  <c r="B30" i="8"/>
  <c r="B33" i="8"/>
  <c r="C33" i="8"/>
  <c r="C34" i="8" s="1"/>
  <c r="D33" i="8"/>
  <c r="D34" i="8" s="1"/>
  <c r="E33" i="8"/>
  <c r="E34" i="8"/>
  <c r="B34" i="8"/>
  <c r="E235" i="11"/>
  <c r="E195" i="11"/>
  <c r="E157" i="11"/>
  <c r="E159" i="11" s="1"/>
  <c r="E130" i="11" s="1"/>
  <c r="C10" i="13"/>
  <c r="C26" i="13"/>
  <c r="B10" i="13"/>
  <c r="H10" i="13" s="1"/>
  <c r="C24" i="13"/>
  <c r="C37" i="13"/>
  <c r="G10" i="13"/>
  <c r="C35" i="13" s="1"/>
  <c r="D10" i="13"/>
  <c r="C29" i="13"/>
  <c r="E10" i="13"/>
  <c r="C31" i="13" s="1"/>
  <c r="C14" i="13"/>
  <c r="E26" i="13"/>
  <c r="G14" i="13"/>
  <c r="E35" i="13" s="1"/>
  <c r="E14" i="13"/>
  <c r="E31" i="13"/>
  <c r="F12" i="13"/>
  <c r="D33" i="13" s="1"/>
  <c r="F33" i="13" s="1"/>
  <c r="D14" i="13"/>
  <c r="E29" i="13" s="1"/>
  <c r="H30" i="15"/>
  <c r="H10" i="15"/>
  <c r="B14" i="13"/>
  <c r="E24" i="13" s="1"/>
  <c r="E37" i="13" s="1"/>
  <c r="E12" i="13"/>
  <c r="D31" i="13" s="1"/>
  <c r="D12" i="13"/>
  <c r="D29" i="13"/>
  <c r="C12" i="13"/>
  <c r="D26" i="13" s="1"/>
  <c r="G12" i="13"/>
  <c r="D35" i="13"/>
  <c r="B12" i="13"/>
  <c r="H12" i="13" s="1"/>
  <c r="E8" i="13"/>
  <c r="B31" i="13" s="1"/>
  <c r="F31" i="13" s="1"/>
  <c r="D8" i="13"/>
  <c r="B29" i="13" s="1"/>
  <c r="F29" i="13" s="1"/>
  <c r="D17" i="13"/>
  <c r="C8" i="13"/>
  <c r="C17" i="13" s="1"/>
  <c r="B26" i="13"/>
  <c r="F26" i="13"/>
  <c r="F339" i="11"/>
  <c r="H10" i="14"/>
  <c r="B8" i="13"/>
  <c r="B17" i="13" s="1"/>
  <c r="H8" i="13"/>
  <c r="H17" i="13" s="1"/>
  <c r="G8" i="13"/>
  <c r="B35" i="13"/>
  <c r="F35" i="13"/>
  <c r="G17" i="13"/>
  <c r="Q418" i="22"/>
  <c r="Q437" i="22"/>
  <c r="Q360" i="22"/>
  <c r="Q370" i="22" s="1"/>
  <c r="M370" i="22"/>
  <c r="M747" i="22"/>
  <c r="Q740" i="22"/>
  <c r="J479" i="22"/>
  <c r="J113" i="22"/>
  <c r="Q544" i="22"/>
  <c r="Q547" i="22" s="1"/>
  <c r="J24" i="22"/>
  <c r="J34" i="22"/>
  <c r="J57" i="22"/>
  <c r="M21" i="22"/>
  <c r="M34" i="22" s="1"/>
  <c r="M444" i="22"/>
  <c r="Q444" i="22" s="1"/>
  <c r="S304" i="22"/>
  <c r="H113" i="22"/>
  <c r="Q21" i="22"/>
  <c r="F17" i="13"/>
  <c r="E17" i="13"/>
  <c r="F177" i="22"/>
  <c r="F296" i="11"/>
  <c r="F279" i="11" s="1"/>
  <c r="F921" i="22"/>
  <c r="M302" i="22"/>
  <c r="Q382" i="22"/>
  <c r="M126" i="22"/>
  <c r="Q126" i="22" s="1"/>
  <c r="Q131" i="22" s="1"/>
  <c r="Q232" i="22"/>
  <c r="Q333" i="22"/>
  <c r="M397" i="22"/>
  <c r="J415" i="22"/>
  <c r="Q532" i="22"/>
  <c r="Q533" i="22" s="1"/>
  <c r="M533" i="22"/>
  <c r="Q661" i="22"/>
  <c r="M669" i="22"/>
  <c r="Q110" i="22"/>
  <c r="Q111" i="22" s="1"/>
  <c r="M111" i="22"/>
  <c r="Q268" i="22"/>
  <c r="Q270" i="22"/>
  <c r="M270" i="22"/>
  <c r="M573" i="22"/>
  <c r="Q573" i="22"/>
  <c r="J611" i="22"/>
  <c r="O177" i="22"/>
  <c r="H14" i="13"/>
  <c r="J921" i="22"/>
  <c r="Q854" i="22"/>
  <c r="M861" i="22"/>
  <c r="M479" i="22"/>
  <c r="C291" i="11"/>
  <c r="C296" i="11" s="1"/>
  <c r="C279" i="11" s="1"/>
  <c r="H26" i="15"/>
  <c r="Q316" i="22"/>
  <c r="Q317" i="22" s="1"/>
  <c r="M317" i="22"/>
  <c r="Q676" i="22"/>
  <c r="Q680" i="22"/>
  <c r="M680" i="22"/>
  <c r="F113" i="22"/>
  <c r="M702" i="22"/>
  <c r="Q397" i="22"/>
  <c r="Q415" i="22" s="1"/>
  <c r="M415" i="22"/>
  <c r="F304" i="22"/>
  <c r="B24" i="13"/>
  <c r="B37" i="13" s="1"/>
  <c r="M24" i="22"/>
  <c r="Q24" i="22" s="1"/>
  <c r="Q34" i="22" s="1"/>
  <c r="M691" i="22"/>
  <c r="Q683" i="22"/>
  <c r="Q691" i="22"/>
  <c r="M45" i="22"/>
  <c r="M90" i="22"/>
  <c r="C123" i="11"/>
  <c r="H810" i="22"/>
  <c r="H937" i="22" s="1"/>
  <c r="M289" i="22"/>
  <c r="M657" i="22"/>
  <c r="Q655" i="22"/>
  <c r="Q657" i="22"/>
  <c r="Q720" i="22"/>
  <c r="Q734" i="22" s="1"/>
  <c r="M734" i="22"/>
  <c r="M14" i="22"/>
  <c r="Q11" i="22"/>
  <c r="Q14" i="22" s="1"/>
  <c r="M482" i="22"/>
  <c r="M499" i="22" s="1"/>
  <c r="J499" i="22"/>
  <c r="Q106" i="22"/>
  <c r="Q107" i="22" s="1"/>
  <c r="M107" i="22"/>
  <c r="Q97" i="22"/>
  <c r="Q103" i="22" s="1"/>
  <c r="M103" i="22"/>
  <c r="Q375" i="22"/>
  <c r="Q391" i="22"/>
  <c r="M391" i="22"/>
  <c r="M123" i="22"/>
  <c r="M778" i="22"/>
  <c r="M780" i="22" s="1"/>
  <c r="Q218" i="22"/>
  <c r="Q224" i="22"/>
  <c r="M714" i="22"/>
  <c r="M715" i="22"/>
  <c r="M175" i="22"/>
  <c r="J252" i="22"/>
  <c r="C23" i="8"/>
  <c r="C24" i="8"/>
  <c r="C226" i="11"/>
  <c r="C235" i="11"/>
  <c r="C195" i="11" s="1"/>
  <c r="H36" i="14"/>
  <c r="H38" i="14" s="1"/>
  <c r="H57" i="22"/>
  <c r="S535" i="22"/>
  <c r="S393" i="22"/>
  <c r="S557" i="22" s="1"/>
  <c r="M190" i="22"/>
  <c r="J214" i="22"/>
  <c r="M502" i="22"/>
  <c r="Q502" i="22" s="1"/>
  <c r="Q520" i="22" s="1"/>
  <c r="J520" i="22"/>
  <c r="E54" i="15"/>
  <c r="M849" i="22"/>
  <c r="M898" i="22"/>
  <c r="M921" i="22" s="1"/>
  <c r="O113" i="22"/>
  <c r="S921" i="22"/>
  <c r="F24" i="13"/>
  <c r="F37" i="13" s="1"/>
  <c r="Q190" i="22"/>
  <c r="M214" i="22"/>
  <c r="D333" i="5" l="1"/>
  <c r="M57" i="22"/>
  <c r="O780" i="22"/>
  <c r="O937" i="22"/>
  <c r="Q304" i="22"/>
  <c r="C332" i="11"/>
  <c r="C337" i="11" s="1"/>
  <c r="C343" i="11" s="1"/>
  <c r="Q877" i="22"/>
  <c r="Q214" i="22"/>
  <c r="E333" i="5"/>
  <c r="E340" i="5" s="1"/>
  <c r="O557" i="22"/>
  <c r="O955" i="22" s="1"/>
  <c r="O958" i="22" s="1"/>
  <c r="Q611" i="22"/>
  <c r="Q572" i="22"/>
  <c r="M611" i="22"/>
  <c r="H54" i="15"/>
  <c r="S955" i="22"/>
  <c r="S958" i="22" s="1"/>
  <c r="S937" i="22"/>
  <c r="F333" i="5"/>
  <c r="F340" i="5" s="1"/>
  <c r="C236" i="5"/>
  <c r="C196" i="5" s="1"/>
  <c r="C333" i="5" s="1"/>
  <c r="C340" i="5" s="1"/>
  <c r="D192" i="5"/>
  <c r="D126" i="5"/>
  <c r="C191" i="11"/>
  <c r="F332" i="11"/>
  <c r="F535" i="22"/>
  <c r="F191" i="11"/>
  <c r="J780" i="22"/>
  <c r="J937" i="22" s="1"/>
  <c r="Q714" i="22"/>
  <c r="Q715" i="22" s="1"/>
  <c r="M131" i="22"/>
  <c r="M810" i="22"/>
  <c r="C192" i="5"/>
  <c r="J177" i="22"/>
  <c r="M440" i="22"/>
  <c r="J457" i="22"/>
  <c r="J535" i="22" s="1"/>
  <c r="J557" i="22" s="1"/>
  <c r="M94" i="22"/>
  <c r="M113" i="22" s="1"/>
  <c r="Q93" i="22"/>
  <c r="Q94" i="22" s="1"/>
  <c r="Q113" i="22" s="1"/>
  <c r="Q554" i="22"/>
  <c r="Q555" i="22" s="1"/>
  <c r="M329" i="22"/>
  <c r="E191" i="11"/>
  <c r="E337" i="11" s="1"/>
  <c r="E343" i="11" s="1"/>
  <c r="F393" i="22"/>
  <c r="F557" i="22" s="1"/>
  <c r="H304" i="22"/>
  <c r="M260" i="22"/>
  <c r="M304" i="22" s="1"/>
  <c r="Q140" i="22"/>
  <c r="Q144" i="22" s="1"/>
  <c r="Q177" i="22" s="1"/>
  <c r="M144" i="22"/>
  <c r="M177" i="22" s="1"/>
  <c r="M314" i="22"/>
  <c r="Q312" i="22"/>
  <c r="Q314" i="22" s="1"/>
  <c r="Q482" i="22"/>
  <c r="Q499" i="22" s="1"/>
  <c r="M224" i="22"/>
  <c r="Q619" i="22"/>
  <c r="Q620" i="22" s="1"/>
  <c r="F937" i="22"/>
  <c r="D24" i="13"/>
  <c r="D37" i="13" s="1"/>
  <c r="C126" i="5"/>
  <c r="F22" i="5"/>
  <c r="D39" i="11"/>
  <c r="D40" i="11" s="1"/>
  <c r="D25" i="11" s="1"/>
  <c r="D47" i="11" s="1"/>
  <c r="D179" i="11"/>
  <c r="D182" i="11" s="1"/>
  <c r="D162" i="11" s="1"/>
  <c r="D191" i="11" s="1"/>
  <c r="Q919" i="22"/>
  <c r="Q921" i="22" s="1"/>
  <c r="Q669" i="22"/>
  <c r="Q874" i="22"/>
  <c r="M877" i="22"/>
  <c r="M937" i="22" s="1"/>
  <c r="M520" i="22"/>
  <c r="D54" i="15"/>
  <c r="Q49" i="22"/>
  <c r="Q50" i="22" s="1"/>
  <c r="Q57" i="22" s="1"/>
  <c r="M355" i="22"/>
  <c r="M393" i="22" s="1"/>
  <c r="M252" i="22"/>
  <c r="M187" i="22"/>
  <c r="D235" i="11"/>
  <c r="D195" i="11" s="1"/>
  <c r="D332" i="11" s="1"/>
  <c r="D337" i="11" s="1"/>
  <c r="D343" i="11" s="1"/>
  <c r="H18" i="14"/>
  <c r="H535" i="22"/>
  <c r="H557" i="22" s="1"/>
  <c r="H955" i="22" s="1"/>
  <c r="H958" i="22" s="1"/>
  <c r="J715" i="22"/>
  <c r="Q747" i="22"/>
  <c r="Q284" i="22"/>
  <c r="Q285" i="22" s="1"/>
  <c r="M547" i="22"/>
  <c r="Q778" i="22"/>
  <c r="Q338" i="22"/>
  <c r="Q393" i="22" s="1"/>
  <c r="J955" i="22" l="1"/>
  <c r="J958" i="22" s="1"/>
  <c r="D340" i="5"/>
  <c r="F955" i="22"/>
  <c r="F958" i="22" s="1"/>
  <c r="F337" i="11"/>
  <c r="F343" i="11" s="1"/>
  <c r="M535" i="22"/>
  <c r="M557" i="22" s="1"/>
  <c r="M955" i="22" s="1"/>
  <c r="M958" i="22" s="1"/>
  <c r="Q780" i="22"/>
  <c r="Q937" i="22" s="1"/>
  <c r="Q440" i="22"/>
  <c r="Q457" i="22" s="1"/>
  <c r="Q535" i="22" s="1"/>
  <c r="Q557" i="22" s="1"/>
  <c r="M457" i="22"/>
  <c r="Q955" i="22" l="1"/>
  <c r="Q958" i="22" s="1"/>
</calcChain>
</file>

<file path=xl/sharedStrings.xml><?xml version="1.0" encoding="utf-8"?>
<sst xmlns="http://schemas.openxmlformats.org/spreadsheetml/2006/main" count="5532" uniqueCount="2947">
  <si>
    <t xml:space="preserve">                    01-52500-05-5104</t>
  </si>
  <si>
    <t xml:space="preserve">                    01-53200-01-5104</t>
  </si>
  <si>
    <t xml:space="preserve">                    01-53200-05-5104</t>
  </si>
  <si>
    <t>Telephone Northeast Dist</t>
  </si>
  <si>
    <t xml:space="preserve">                    01-53400-05-5104</t>
  </si>
  <si>
    <t xml:space="preserve">                    01-53600-05-5104</t>
  </si>
  <si>
    <t xml:space="preserve">                    01-54000-05-5104</t>
  </si>
  <si>
    <t xml:space="preserve">  6.Web hosting</t>
  </si>
  <si>
    <t xml:space="preserve">  7.Resources/ Workshops/ Videos</t>
  </si>
  <si>
    <t xml:space="preserve">  a. Local Church Subscription/Advertising</t>
  </si>
  <si>
    <t xml:space="preserve">  c. Reimb. From Conf. Session for Annual Conference paper</t>
  </si>
  <si>
    <t>Total Income (other than CMF)</t>
  </si>
  <si>
    <t xml:space="preserve">      7.   Conference Secretary</t>
  </si>
  <si>
    <t xml:space="preserve">      8.   Conference Sessions</t>
  </si>
  <si>
    <t xml:space="preserve">      9.   Conference Statistician</t>
  </si>
  <si>
    <t xml:space="preserve">     10.   Council on Finance &amp; Administration</t>
  </si>
  <si>
    <t xml:space="preserve">     11.   EPA-Peninsula Foundation</t>
  </si>
  <si>
    <t xml:space="preserve">     12.   Equitable Compensation Fund</t>
  </si>
  <si>
    <t>Schedule: Equitable Compensation Fund</t>
  </si>
  <si>
    <t xml:space="preserve">  a. Grants</t>
  </si>
  <si>
    <t xml:space="preserve">  b. Cabinet Fund</t>
  </si>
  <si>
    <t>Commission Expenses</t>
  </si>
  <si>
    <t xml:space="preserve">  a. Postage</t>
  </si>
  <si>
    <t>Connectional Ministry Report - March 2009</t>
  </si>
  <si>
    <t>Virginia Miles</t>
  </si>
  <si>
    <t>Penns Park</t>
  </si>
  <si>
    <t>07300</t>
  </si>
  <si>
    <t>Walter J. Unterberger</t>
  </si>
  <si>
    <t>Thomas A. Weeple</t>
  </si>
  <si>
    <t>Clearfield</t>
  </si>
  <si>
    <t>06100</t>
  </si>
  <si>
    <t>Farai D. Muzorewa</t>
  </si>
  <si>
    <t>Eddystone</t>
  </si>
  <si>
    <t>03190</t>
  </si>
  <si>
    <t>Barbara Keyser</t>
  </si>
  <si>
    <t>Havertown: St. Andrews</t>
  </si>
  <si>
    <t>05180</t>
  </si>
  <si>
    <t>Jorge L. Ortiz</t>
  </si>
  <si>
    <t>Phila.: El Mesias (Kensington Area Ministry)</t>
  </si>
  <si>
    <t>05390</t>
  </si>
  <si>
    <t>Eva Johnson</t>
  </si>
  <si>
    <t>Theodore R. Lorah</t>
  </si>
  <si>
    <t>Pottstown: Salem</t>
  </si>
  <si>
    <t>01530</t>
  </si>
  <si>
    <t>Susan J. Roehs</t>
  </si>
  <si>
    <t>Wind Gap: First</t>
  </si>
  <si>
    <t>04130</t>
  </si>
  <si>
    <t>Shenandoah: First</t>
  </si>
  <si>
    <t>02660</t>
  </si>
  <si>
    <t>Bonnie Yeager</t>
  </si>
  <si>
    <t>Pottsville: Evangelical</t>
  </si>
  <si>
    <t>02450</t>
  </si>
  <si>
    <t>Arthur L. Rettew</t>
  </si>
  <si>
    <t>Rawlinsville</t>
  </si>
  <si>
    <t>06450</t>
  </si>
  <si>
    <t>Sandra Nash</t>
  </si>
  <si>
    <t>Hellertown: St. Paul</t>
  </si>
  <si>
    <t>04320</t>
  </si>
  <si>
    <t>J. W. Pratt</t>
  </si>
  <si>
    <t>Wooddale</t>
  </si>
  <si>
    <t>04630</t>
  </si>
  <si>
    <t>Paradise Valley: Keokee Chapel</t>
  </si>
  <si>
    <t>04590</t>
  </si>
  <si>
    <t>Craig D. Laubach</t>
  </si>
  <si>
    <t>Belfast: Wesley</t>
  </si>
  <si>
    <t>04120</t>
  </si>
  <si>
    <t>William A. Abrams</t>
  </si>
  <si>
    <t>Slatedale: Salem</t>
  </si>
  <si>
    <t>04540</t>
  </si>
  <si>
    <t>Pomeroy</t>
  </si>
  <si>
    <t>03140</t>
  </si>
  <si>
    <t>Ernest Fisher</t>
  </si>
  <si>
    <t>South Media: Packard Memorial</t>
  </si>
  <si>
    <t>03560</t>
  </si>
  <si>
    <t>Whymon Simmons</t>
  </si>
  <si>
    <t xml:space="preserve">                    01-54400-05-5104</t>
  </si>
  <si>
    <t xml:space="preserve">                    01-55100-05-5104</t>
  </si>
  <si>
    <t xml:space="preserve">                    01-55300-05-5104</t>
  </si>
  <si>
    <t xml:space="preserve">                    01-55301-05-5104</t>
  </si>
  <si>
    <t xml:space="preserve">                    01-56000-05-5104</t>
  </si>
  <si>
    <t xml:space="preserve">                    01-57200-05-5104</t>
  </si>
  <si>
    <t xml:space="preserve">                    01-59900-05-5104</t>
  </si>
  <si>
    <t xml:space="preserve">                    01-50101-05-5106</t>
  </si>
  <si>
    <t xml:space="preserve">                    01-50300-05-5106</t>
  </si>
  <si>
    <t xml:space="preserve">                    01-51000-05-5106</t>
  </si>
  <si>
    <t xml:space="preserve">                    01-51200-05-5106</t>
  </si>
  <si>
    <t xml:space="preserve">                    01-51300-05-5106</t>
  </si>
  <si>
    <t xml:space="preserve">                    01-51400-05-5106</t>
  </si>
  <si>
    <t xml:space="preserve">                    01-53200-05-5106</t>
  </si>
  <si>
    <t xml:space="preserve">                    01-53400-05-5106</t>
  </si>
  <si>
    <t xml:space="preserve">                    01-53600-05-5106</t>
  </si>
  <si>
    <t xml:space="preserve">                    01-54400-05-5106</t>
  </si>
  <si>
    <t xml:space="preserve">                    01-55100-05-5106</t>
  </si>
  <si>
    <t xml:space="preserve">                    01-55300-05-5106</t>
  </si>
  <si>
    <t xml:space="preserve">                    01-56000-05-5106</t>
  </si>
  <si>
    <t xml:space="preserve">                    01-57200-05-5106</t>
  </si>
  <si>
    <t xml:space="preserve">                    01-59900-05-5106</t>
  </si>
  <si>
    <t>Misc Expenses Leadership RT Southwest Dist Suprdt</t>
  </si>
  <si>
    <t xml:space="preserve">                    01-50101-05-5107</t>
  </si>
  <si>
    <t xml:space="preserve">                    01-50300-05-5107</t>
  </si>
  <si>
    <t xml:space="preserve">                    01-51000-05-5107</t>
  </si>
  <si>
    <t xml:space="preserve">                    01-51200-05-5107</t>
  </si>
  <si>
    <t xml:space="preserve">                    01-51300-05-5107</t>
  </si>
  <si>
    <t xml:space="preserve">                    01-51400-05-5107</t>
  </si>
  <si>
    <t xml:space="preserve">                    01-51900-05-5107</t>
  </si>
  <si>
    <t xml:space="preserve">                    01-53200-05-5107</t>
  </si>
  <si>
    <t xml:space="preserve">                    01-53400-05-5107</t>
  </si>
  <si>
    <t xml:space="preserve">                    01-53600-05-5107</t>
  </si>
  <si>
    <t xml:space="preserve">                    01-54400-05-5107</t>
  </si>
  <si>
    <t xml:space="preserve">                    01-55100-05-5107</t>
  </si>
  <si>
    <t xml:space="preserve">                    01-55200-05-5107</t>
  </si>
  <si>
    <t xml:space="preserve">                    01-55300-05-5107</t>
  </si>
  <si>
    <t xml:space="preserve">                    01-56000-05-5107</t>
  </si>
  <si>
    <t xml:space="preserve">                    01-57200-05-5107</t>
  </si>
  <si>
    <t xml:space="preserve">                    01-59900-05-5107</t>
  </si>
  <si>
    <t>Misc Income</t>
  </si>
  <si>
    <t xml:space="preserve">                    01-53200-05-5110</t>
  </si>
  <si>
    <t>Telephone Leadership RT Cabinet Mission and M</t>
  </si>
  <si>
    <t xml:space="preserve">                    01-53400-05-5110</t>
  </si>
  <si>
    <t>Postage Leadership RT Cabinet Mission and M</t>
  </si>
  <si>
    <t xml:space="preserve">                    01-53600-05-5110</t>
  </si>
  <si>
    <t>Materials &amp; Supplies Leadership RT Cabinet Mission and M</t>
  </si>
  <si>
    <t xml:space="preserve">                    01-54000-05-5110</t>
  </si>
  <si>
    <t>Printing &amp; Copies Leadership RT Cabinet Mission and M</t>
  </si>
  <si>
    <t xml:space="preserve">                    01-55300-05-5110</t>
  </si>
  <si>
    <t>Professional Expense Leadership RT Cabinet Mission and M</t>
  </si>
  <si>
    <t xml:space="preserve">                    01-55700-05-5110</t>
  </si>
  <si>
    <t xml:space="preserve">                    01-56100-05-5110</t>
  </si>
  <si>
    <t xml:space="preserve">                    01-59600-05-5110</t>
  </si>
  <si>
    <t xml:space="preserve">                    01-59800-05-5110</t>
  </si>
  <si>
    <t xml:space="preserve">               01-55800-05-5310</t>
  </si>
  <si>
    <t xml:space="preserve">               01-53200-05-5320</t>
  </si>
  <si>
    <t xml:space="preserve">               01-53400-05-5320</t>
  </si>
  <si>
    <t xml:space="preserve">               01-53600-05-5320</t>
  </si>
  <si>
    <t xml:space="preserve">               01-54000-05-5320</t>
  </si>
  <si>
    <t xml:space="preserve">               01-55200-05-5320</t>
  </si>
  <si>
    <t>Making Disciples</t>
  </si>
  <si>
    <t>Materials</t>
  </si>
  <si>
    <t>Programs</t>
  </si>
  <si>
    <t xml:space="preserve">          Administrative Support Team</t>
  </si>
  <si>
    <t xml:space="preserve">               01-56100-06-6000</t>
  </si>
  <si>
    <t>Program Expenses Administrative Resource Team</t>
  </si>
  <si>
    <t xml:space="preserve">          Total Administrative Support Team</t>
  </si>
  <si>
    <t xml:space="preserve">               01-43905-06-6001</t>
  </si>
  <si>
    <t xml:space="preserve">               01-43910-06-6001</t>
  </si>
  <si>
    <t xml:space="preserve">               01-43915-06-6001</t>
  </si>
  <si>
    <t xml:space="preserve">               01-43920-06-6001</t>
  </si>
  <si>
    <t xml:space="preserve">               01-44000-06-6001</t>
  </si>
  <si>
    <t xml:space="preserve">               01-48900-06-6001</t>
  </si>
  <si>
    <t xml:space="preserve">               01-50101-06-6001</t>
  </si>
  <si>
    <t xml:space="preserve">               01-50300-06-6001</t>
  </si>
  <si>
    <t>Salaries - Support Associates</t>
  </si>
  <si>
    <t xml:space="preserve">               01-50400-06-6001</t>
  </si>
  <si>
    <t>Salaries - Contingency</t>
  </si>
  <si>
    <t xml:space="preserve">               01-50700-06-6001</t>
  </si>
  <si>
    <t>Salaries - Support - Office of Admin Ministries</t>
  </si>
  <si>
    <t xml:space="preserve">               01-51000-06-6001</t>
  </si>
  <si>
    <t xml:space="preserve">               01-51200-06-6001</t>
  </si>
  <si>
    <t xml:space="preserve">               01-51300-06-6001</t>
  </si>
  <si>
    <t xml:space="preserve">               01-51400-06-6001</t>
  </si>
  <si>
    <t xml:space="preserve">               01-51500-06-6001</t>
  </si>
  <si>
    <t xml:space="preserve">               01-51600-06-6001</t>
  </si>
  <si>
    <t>Utilities</t>
  </si>
  <si>
    <t xml:space="preserve">               01-51700-06-6001</t>
  </si>
  <si>
    <t xml:space="preserve">               01-52200-06-6001</t>
  </si>
  <si>
    <t xml:space="preserve">               01-52300-06-6001</t>
  </si>
  <si>
    <t xml:space="preserve">               01-52301-06-6001</t>
  </si>
  <si>
    <t xml:space="preserve">               01-52500-06-6001</t>
  </si>
  <si>
    <t xml:space="preserve">               01-52501-06-6001</t>
  </si>
  <si>
    <t xml:space="preserve">               01-52651-06-6001</t>
  </si>
  <si>
    <t xml:space="preserve">               01-52951-06-6001</t>
  </si>
  <si>
    <t xml:space="preserve">               01-53200-06-6001</t>
  </si>
  <si>
    <t xml:space="preserve">               01-53400-06-6001</t>
  </si>
  <si>
    <t xml:space="preserve">               01-53500-06-6001</t>
  </si>
  <si>
    <t xml:space="preserve">               01-53600-06-6001</t>
  </si>
  <si>
    <t xml:space="preserve">               01-54000-06-6001</t>
  </si>
  <si>
    <t xml:space="preserve">               01-54200-06-6001</t>
  </si>
  <si>
    <t xml:space="preserve">               01-54400-06-6001</t>
  </si>
  <si>
    <t xml:space="preserve">               01-54405-06-6001</t>
  </si>
  <si>
    <t xml:space="preserve">               01-54440-06-6001</t>
  </si>
  <si>
    <t>Canon Tech Soultions</t>
  </si>
  <si>
    <t xml:space="preserve">               01-54600-06-6001</t>
  </si>
  <si>
    <t xml:space="preserve">               01-55100-06-6001</t>
  </si>
  <si>
    <t xml:space="preserve">               01-55200-06-6001</t>
  </si>
  <si>
    <t xml:space="preserve">               01-55300-06-6001</t>
  </si>
  <si>
    <t xml:space="preserve">               01-55301-06-6001</t>
  </si>
  <si>
    <t xml:space="preserve">               01-55700-06-6001</t>
  </si>
  <si>
    <t xml:space="preserve">               01-56000-06-6001</t>
  </si>
  <si>
    <t xml:space="preserve">               01-56100-06-6001</t>
  </si>
  <si>
    <t xml:space="preserve">               01-56149-06-6001</t>
  </si>
  <si>
    <t>Bishop's Transition Expense</t>
  </si>
  <si>
    <t xml:space="preserve">               01-57200-06-6001</t>
  </si>
  <si>
    <t>Discretionary Expens Admin Support RT Office of Admin Min</t>
  </si>
  <si>
    <t xml:space="preserve">               01-57700-06-6001</t>
  </si>
  <si>
    <t xml:space="preserve">               01-59000-06-6001</t>
  </si>
  <si>
    <t>Bank Fees</t>
  </si>
  <si>
    <t xml:space="preserve">               01-59900-06-6001</t>
  </si>
  <si>
    <t xml:space="preserve">               01-53200-06-6005</t>
  </si>
  <si>
    <t>Telephone Admin Support RT Area Episcopacy Commi</t>
  </si>
  <si>
    <t xml:space="preserve">               01-53400-06-6005</t>
  </si>
  <si>
    <t>Postage Admin Support RT Area Episcopacy Commi</t>
  </si>
  <si>
    <t xml:space="preserve">               01-53600-06-6005</t>
  </si>
  <si>
    <t>Materials &amp; Supplies Admin Support RT Area Episcopacy Commi</t>
  </si>
  <si>
    <t xml:space="preserve">               01-54000-06-6005</t>
  </si>
  <si>
    <t>Printing &amp; Copies Admin Support RT Area Episcopacy Commi</t>
  </si>
  <si>
    <t xml:space="preserve">               01-55200-06-6005</t>
  </si>
  <si>
    <t>Travel And Related C Admin Support RT Area Episcopacy Commi</t>
  </si>
  <si>
    <t xml:space="preserve">               01-59550-06-6005</t>
  </si>
  <si>
    <t xml:space="preserve">               01-59600-06-6010</t>
  </si>
  <si>
    <t xml:space="preserve">               01-41205-06-6020</t>
  </si>
  <si>
    <t xml:space="preserve">               01-45005-06-6020</t>
  </si>
  <si>
    <t>Bequests And Gifts - Admin Support RT - Archives &amp; History</t>
  </si>
  <si>
    <t xml:space="preserve">               01-50101-00-6020</t>
  </si>
  <si>
    <t>Salaries - Executive</t>
  </si>
  <si>
    <t xml:space="preserve">               01-50300-06-6020</t>
  </si>
  <si>
    <t>Salaries - Office - Admin Support RT- Archives &amp; History</t>
  </si>
  <si>
    <t xml:space="preserve">               01-53200-06-6020</t>
  </si>
  <si>
    <t>Telephone Admin Support RT Archives &amp; History</t>
  </si>
  <si>
    <t xml:space="preserve">               01-53400-06-6020</t>
  </si>
  <si>
    <t>Postage Admin Support RT Archives &amp; History</t>
  </si>
  <si>
    <t xml:space="preserve">               01-53600-06-6020</t>
  </si>
  <si>
    <t xml:space="preserve">               01-54200-06-6020</t>
  </si>
  <si>
    <t>Dues &amp; Subscriptions Admin Support RT Archives &amp; History</t>
  </si>
  <si>
    <t xml:space="preserve">               01-55200-06-6020</t>
  </si>
  <si>
    <t>Travel And Related C Admin Support RT Archives &amp; History</t>
  </si>
  <si>
    <t xml:space="preserve">               01-55700-06-6020</t>
  </si>
  <si>
    <t>Training &amp; Education Admin Support RT Archives &amp; History</t>
  </si>
  <si>
    <t xml:space="preserve">               01-56002-06-6020</t>
  </si>
  <si>
    <t>Grave Markers Admin Support RT Archives &amp; History</t>
  </si>
  <si>
    <t xml:space="preserve">               01-56118-06-6020</t>
  </si>
  <si>
    <t>Historic Site Desgna Admin Support RT Archives &amp; History</t>
  </si>
  <si>
    <t xml:space="preserve">               01-56119-06-6020</t>
  </si>
  <si>
    <t>Delegate Expense Admin Support RT Archives &amp; History</t>
  </si>
  <si>
    <t xml:space="preserve">               01-56145-06-6020</t>
  </si>
  <si>
    <t>NEJCAH Event - Archives &amp; History</t>
  </si>
  <si>
    <t xml:space="preserve">               01-59551-06-6020</t>
  </si>
  <si>
    <t>St George's Church Admin Support RT Archives &amp; History</t>
  </si>
  <si>
    <t xml:space="preserve">                         01-51600-06-6101</t>
  </si>
  <si>
    <t xml:space="preserve">                         01-51700-06-6101</t>
  </si>
  <si>
    <t>Maintenance - Buildi Admin Support RT Central District Par</t>
  </si>
  <si>
    <t xml:space="preserve">                         01-51800-06-6101</t>
  </si>
  <si>
    <t>Maintenance - Ground Admin Support RT Central District Par</t>
  </si>
  <si>
    <t xml:space="preserve">                         01-51900-06-6101</t>
  </si>
  <si>
    <t>Contract Maintenance Admin Support RT Central District Par</t>
  </si>
  <si>
    <t xml:space="preserve">                         01-52000-06-6101</t>
  </si>
  <si>
    <t>Trash Removal Admin Support RT Central District Par</t>
  </si>
  <si>
    <t xml:space="preserve">                         01-52100-06-6101</t>
  </si>
  <si>
    <t>Housekeeping Admin Support RT Central District Par</t>
  </si>
  <si>
    <t xml:space="preserve">                         01-52600-06-6101</t>
  </si>
  <si>
    <t>Fire &amp; Liability Ins Admin Support RT Central District Par</t>
  </si>
  <si>
    <t xml:space="preserve">                         01-52800-06-6101</t>
  </si>
  <si>
    <t>Real Estate Taxes Admin Support RT Central District Par</t>
  </si>
  <si>
    <t xml:space="preserve">                         01-55100-06-6101</t>
  </si>
  <si>
    <t>Housing</t>
  </si>
  <si>
    <t xml:space="preserve">                         01-57200-06-6101</t>
  </si>
  <si>
    <t>Discretionary Expenses</t>
  </si>
  <si>
    <t xml:space="preserve">                         01-51600-06-6102</t>
  </si>
  <si>
    <t xml:space="preserve">                         01-51700-06-6102</t>
  </si>
  <si>
    <t xml:space="preserve">                         01-51800-06-6102</t>
  </si>
  <si>
    <t xml:space="preserve">                         01-52000-06-6102</t>
  </si>
  <si>
    <t>Office Rental</t>
  </si>
  <si>
    <t xml:space="preserve">                         01-52600-06-6102</t>
  </si>
  <si>
    <t xml:space="preserve">                         01-52800-06-6102</t>
  </si>
  <si>
    <t xml:space="preserve">                         01-56100-06-6102</t>
  </si>
  <si>
    <t xml:space="preserve">                         01-57200-06-6102</t>
  </si>
  <si>
    <t xml:space="preserve">                         01-51600-06-6103</t>
  </si>
  <si>
    <t xml:space="preserve">                         01-51700-06-6103</t>
  </si>
  <si>
    <t xml:space="preserve">                         01-51800-06-6103</t>
  </si>
  <si>
    <t xml:space="preserve">                         01-52000-06-6103</t>
  </si>
  <si>
    <t xml:space="preserve">                         01-52600-06-6103</t>
  </si>
  <si>
    <t xml:space="preserve">                         01-52800-06-6103</t>
  </si>
  <si>
    <t xml:space="preserve">                         01-57200-06-6103</t>
  </si>
  <si>
    <t xml:space="preserve">                         01-51600-06-6104</t>
  </si>
  <si>
    <t xml:space="preserve">                         01-51700-06-6104</t>
  </si>
  <si>
    <t xml:space="preserve">                         01-51800-06-6104</t>
  </si>
  <si>
    <t xml:space="preserve">                         01-52000-06-6104</t>
  </si>
  <si>
    <t xml:space="preserve">                         01-52600-06-6104</t>
  </si>
  <si>
    <t xml:space="preserve">                         01-52800-06-6104</t>
  </si>
  <si>
    <t xml:space="preserve">                         01-57200-06-6104</t>
  </si>
  <si>
    <t xml:space="preserve">                         01-51600-06-6106</t>
  </si>
  <si>
    <t xml:space="preserve">                         01-51700-06-6106</t>
  </si>
  <si>
    <t xml:space="preserve">                         01-51800-06-6106</t>
  </si>
  <si>
    <t xml:space="preserve">                         01-52000-06-6106</t>
  </si>
  <si>
    <t xml:space="preserve">                         01-52600-06-6106</t>
  </si>
  <si>
    <t>Fire &amp; Liability Ins Admin Support RT Southwest District Pa</t>
  </si>
  <si>
    <t xml:space="preserve">                         01-52800-06-6106</t>
  </si>
  <si>
    <t xml:space="preserve">                         01-57200-06-6106</t>
  </si>
  <si>
    <t xml:space="preserve">                         01-51600-06-6107</t>
  </si>
  <si>
    <t xml:space="preserve">                         01-51700-06-6107</t>
  </si>
  <si>
    <t>Maintenance - Buildi Admin Support RT East District Parsona</t>
  </si>
  <si>
    <t xml:space="preserve">                         01-51800-06-6107</t>
  </si>
  <si>
    <t>Maintenance - Ground Admin Support RT East District Parsona</t>
  </si>
  <si>
    <t xml:space="preserve">                         01-52000-06-6107</t>
  </si>
  <si>
    <t>Trash Removal Admin Support RT East District Parsona</t>
  </si>
  <si>
    <t xml:space="preserve">                         01-52200-06-6107</t>
  </si>
  <si>
    <t>Office Rent</t>
  </si>
  <si>
    <t xml:space="preserve">                         01-52600-06-6107</t>
  </si>
  <si>
    <t xml:space="preserve">                         01-52800-06-6107</t>
  </si>
  <si>
    <t>Real Estate Taxes Admin Support RT East District Parsona</t>
  </si>
  <si>
    <t xml:space="preserve">                         01-57200-06-6107</t>
  </si>
  <si>
    <t xml:space="preserve">                    01-40505-06-6120</t>
  </si>
  <si>
    <t xml:space="preserve">                    01-40510-06-6120</t>
  </si>
  <si>
    <t xml:space="preserve">                    01-44000-06-6120</t>
  </si>
  <si>
    <t xml:space="preserve">                    01-45005-06-6120</t>
  </si>
  <si>
    <t xml:space="preserve">                    01-51600-06-6120</t>
  </si>
  <si>
    <t xml:space="preserve">                    01-51700-06-6120</t>
  </si>
  <si>
    <t xml:space="preserve">                    01-51800-06-6120</t>
  </si>
  <si>
    <t xml:space="preserve">                    01-51900-06-6120</t>
  </si>
  <si>
    <t xml:space="preserve">                    01-52000-06-6120</t>
  </si>
  <si>
    <t xml:space="preserve">                    01-52100-06-6120</t>
  </si>
  <si>
    <t xml:space="preserve">                    01-52600-06-6120</t>
  </si>
  <si>
    <t xml:space="preserve">                    01-52800-06-6120</t>
  </si>
  <si>
    <t xml:space="preserve">                    01-53200-06-6120</t>
  </si>
  <si>
    <t xml:space="preserve">                    01-57200-06-6120</t>
  </si>
  <si>
    <t xml:space="preserve">                    01-59000-06-6120</t>
  </si>
  <si>
    <t xml:space="preserve">                    01-59900-06-6120</t>
  </si>
  <si>
    <t xml:space="preserve">                    01-51600-06-6110</t>
  </si>
  <si>
    <t xml:space="preserve">                    01-51700-06-6110</t>
  </si>
  <si>
    <t xml:space="preserve">                    01-51800-06-6110</t>
  </si>
  <si>
    <t xml:space="preserve">                    01-51900-06-6110</t>
  </si>
  <si>
    <t xml:space="preserve">                    01-52000-06-6110</t>
  </si>
  <si>
    <t xml:space="preserve">                    01-52100-06-6110</t>
  </si>
  <si>
    <t xml:space="preserve">                    01-52600-06-6110</t>
  </si>
  <si>
    <t xml:space="preserve">                    01-52800-06-6110</t>
  </si>
  <si>
    <t xml:space="preserve">                    01-53500-06-6110</t>
  </si>
  <si>
    <t xml:space="preserve">                    01-59900-06-6110</t>
  </si>
  <si>
    <t xml:space="preserve">                    01-41011-06-6130</t>
  </si>
  <si>
    <t xml:space="preserve">                    01-44000-06-6130</t>
  </si>
  <si>
    <t xml:space="preserve">                    01-45000-06-6130</t>
  </si>
  <si>
    <t xml:space="preserve">                    01-48105-06-6130</t>
  </si>
  <si>
    <t xml:space="preserve">                    01-48110-06-6130</t>
  </si>
  <si>
    <t xml:space="preserve">                    01-48115-06-6130</t>
  </si>
  <si>
    <t xml:space="preserve">                    01-48900-06-6130</t>
  </si>
  <si>
    <t xml:space="preserve">                    01-51700-06-6115</t>
  </si>
  <si>
    <t xml:space="preserve">                    01-51700-06-6130</t>
  </si>
  <si>
    <t xml:space="preserve">                    01-51701-06-6130</t>
  </si>
  <si>
    <t>Maintenance Central Parsonage</t>
  </si>
  <si>
    <t xml:space="preserve">                    01-51702-06-6130</t>
  </si>
  <si>
    <t xml:space="preserve">                    01-51703-06-6130</t>
  </si>
  <si>
    <t xml:space="preserve">                    01-51704-06-6130</t>
  </si>
  <si>
    <t xml:space="preserve">                    01-51706-06-6130</t>
  </si>
  <si>
    <t xml:space="preserve">                    01-51707-06-6130</t>
  </si>
  <si>
    <t xml:space="preserve">                    01-51800-06-6130</t>
  </si>
  <si>
    <t xml:space="preserve">                    01-52600-06-6130</t>
  </si>
  <si>
    <t xml:space="preserve">                    01-52605-06-6130</t>
  </si>
  <si>
    <t xml:space="preserve">                    01-53200-06-6130</t>
  </si>
  <si>
    <t>Telephone Admin Support RT Board of Trustees - C</t>
  </si>
  <si>
    <t xml:space="preserve">                    01-53400-06-6130</t>
  </si>
  <si>
    <t>Postage Admin Support RT Board of Trustees - C</t>
  </si>
  <si>
    <t xml:space="preserve">                    01-53600-06-6130</t>
  </si>
  <si>
    <t>Materials &amp; Supplies Admin Support RT Board of Trustees - C</t>
  </si>
  <si>
    <t xml:space="preserve">                    01-54000-06-6130</t>
  </si>
  <si>
    <t>Printing &amp; Copies Admin Support RT Board of Trustees - C</t>
  </si>
  <si>
    <t xml:space="preserve">                    01-54700-06-6130</t>
  </si>
  <si>
    <t xml:space="preserve">                    01-55200-06-6130</t>
  </si>
  <si>
    <t xml:space="preserve">                    01-55700-06-6130</t>
  </si>
  <si>
    <t>Training &amp; Education Admin Support RT Board of Trustees - C</t>
  </si>
  <si>
    <t xml:space="preserve">                    01-56100-06-6130</t>
  </si>
  <si>
    <t xml:space="preserve">                    01-59000-06-6130</t>
  </si>
  <si>
    <t xml:space="preserve">                    01-59900-06-6130</t>
  </si>
  <si>
    <t xml:space="preserve">               01-40610-06-6300</t>
  </si>
  <si>
    <t xml:space="preserve">               01-40615-06-6300</t>
  </si>
  <si>
    <t>DVD &amp; Video</t>
  </si>
  <si>
    <t xml:space="preserve">               01-48500-06-6300</t>
  </si>
  <si>
    <t xml:space="preserve">               01-50105-06-6300</t>
  </si>
  <si>
    <t xml:space="preserve">               01-51000-06-6300</t>
  </si>
  <si>
    <t xml:space="preserve">               01-51200-06-6300</t>
  </si>
  <si>
    <t xml:space="preserve">               01-51300-06-6300</t>
  </si>
  <si>
    <t xml:space="preserve">               01-51400-00-6300</t>
  </si>
  <si>
    <t xml:space="preserve">               01-51400-06-6300</t>
  </si>
  <si>
    <t>Pension Admin Support RT Communications &amp; Inte</t>
  </si>
  <si>
    <t xml:space="preserve">               01-53200-06-6300</t>
  </si>
  <si>
    <t>Telephone Communications</t>
  </si>
  <si>
    <t xml:space="preserve">               01-53400-06-6300</t>
  </si>
  <si>
    <t>Office Postage Communications</t>
  </si>
  <si>
    <t xml:space="preserve">               01-53401-06-6300</t>
  </si>
  <si>
    <t>Newspirit Postage</t>
  </si>
  <si>
    <t xml:space="preserve">               01-53600-06-6300</t>
  </si>
  <si>
    <t>Materials &amp; Supplies Communications</t>
  </si>
  <si>
    <t xml:space="preserve">               01-54000-06-6300</t>
  </si>
  <si>
    <t>Office Printing &amp; Copies</t>
  </si>
  <si>
    <t xml:space="preserve">               01-54100-06-6300</t>
  </si>
  <si>
    <t>Newspirit Printing</t>
  </si>
  <si>
    <t xml:space="preserve">               01-54300-06-6300</t>
  </si>
  <si>
    <t xml:space="preserve">               01-54400-06-6300</t>
  </si>
  <si>
    <t xml:space="preserve">               01-54700-06-6300</t>
  </si>
  <si>
    <t>Outside Professional Services</t>
  </si>
  <si>
    <t xml:space="preserve">               01-55100-06-6300</t>
  </si>
  <si>
    <t xml:space="preserve">               01-55300-06-6300</t>
  </si>
  <si>
    <t>Professional Expense Communications</t>
  </si>
  <si>
    <t xml:space="preserve">               01-56000-06-6300</t>
  </si>
  <si>
    <t>Andrea Brown</t>
  </si>
  <si>
    <t>Scott Friedgen-Veitch</t>
  </si>
  <si>
    <t>Honey Brook</t>
  </si>
  <si>
    <t>03300</t>
  </si>
  <si>
    <t>Myung H. Cha</t>
  </si>
  <si>
    <t>Bensalem: Korean UMC</t>
  </si>
  <si>
    <t>07040</t>
  </si>
  <si>
    <t>Michael S. Remel</t>
  </si>
  <si>
    <t>Georgetown</t>
  </si>
  <si>
    <t>06190</t>
  </si>
  <si>
    <t>Jose Ayala</t>
  </si>
  <si>
    <t>Conshohocken</t>
  </si>
  <si>
    <t>05080</t>
  </si>
  <si>
    <t>Drums: St. Paul's</t>
  </si>
  <si>
    <t>02150</t>
  </si>
  <si>
    <t>Michael S. Miller</t>
  </si>
  <si>
    <t>06490</t>
  </si>
  <si>
    <t>Coryn E. Beck</t>
  </si>
  <si>
    <t>Millers Crossroads</t>
  </si>
  <si>
    <t>02730</t>
  </si>
  <si>
    <t>Gilbert R. Clark</t>
  </si>
  <si>
    <t>Ackermanville</t>
  </si>
  <si>
    <t>04010</t>
  </si>
  <si>
    <t>Margret M. Powell</t>
  </si>
  <si>
    <t>Phila.: St. James</t>
  </si>
  <si>
    <t>07570</t>
  </si>
  <si>
    <t>Nelson Alleman</t>
  </si>
  <si>
    <t>Oak Grove</t>
  </si>
  <si>
    <t>02630</t>
  </si>
  <si>
    <t>Sharon Feuerstein</t>
  </si>
  <si>
    <t>Zionsville: Salem</t>
  </si>
  <si>
    <t>04640</t>
  </si>
  <si>
    <t>Jere R. Martin</t>
  </si>
  <si>
    <t>Morgantown</t>
  </si>
  <si>
    <t>01430</t>
  </si>
  <si>
    <t>Jay Newlin</t>
  </si>
  <si>
    <t>Jenkintown</t>
  </si>
  <si>
    <t>07220</t>
  </si>
  <si>
    <t>Donald W. Anderson</t>
  </si>
  <si>
    <t>Phila.: Green Lane</t>
  </si>
  <si>
    <t>05585</t>
  </si>
  <si>
    <t>James T. Ford</t>
  </si>
  <si>
    <t>Trainer</t>
  </si>
  <si>
    <t>03610</t>
  </si>
  <si>
    <t>Carol V. Lawfer</t>
  </si>
  <si>
    <t>Hazleton: Diamond</t>
  </si>
  <si>
    <t>02220</t>
  </si>
  <si>
    <t>Thomas Steger</t>
  </si>
  <si>
    <t>Lebanon: St. Luke's</t>
  </si>
  <si>
    <t>01380</t>
  </si>
  <si>
    <t>Menno E. Good</t>
  </si>
  <si>
    <t>Montgomery Square</t>
  </si>
  <si>
    <t>07260</t>
  </si>
  <si>
    <t>William D. Jolly</t>
  </si>
  <si>
    <t>Parkside</t>
  </si>
  <si>
    <t>03520</t>
  </si>
  <si>
    <t>Sharon Paul</t>
  </si>
  <si>
    <t>Landenberg</t>
  </si>
  <si>
    <t>03340</t>
  </si>
  <si>
    <t>Nancy R. Dougherty</t>
  </si>
  <si>
    <t>Wyomissing: Calvary</t>
  </si>
  <si>
    <t>01690</t>
  </si>
  <si>
    <t>John Pritchard</t>
  </si>
  <si>
    <t>Wallingford: Old Union</t>
  </si>
  <si>
    <t>03640</t>
  </si>
  <si>
    <t>Linda W. George</t>
  </si>
  <si>
    <t>Romansville</t>
  </si>
  <si>
    <t>03430</t>
  </si>
  <si>
    <t>Cynthia Hall</t>
  </si>
  <si>
    <t>Faith Community</t>
  </si>
  <si>
    <t>03225</t>
  </si>
  <si>
    <t>Navin Satyavrata</t>
  </si>
  <si>
    <t>Shamokin: St. John's</t>
  </si>
  <si>
    <t>02650</t>
  </si>
  <si>
    <t>Russell W. Streeper</t>
  </si>
  <si>
    <t>Denver: Trinity</t>
  </si>
  <si>
    <t>06140</t>
  </si>
  <si>
    <t>Thomas Ebersole</t>
  </si>
  <si>
    <t>Valley Forge</t>
  </si>
  <si>
    <t>03620</t>
  </si>
  <si>
    <t>The Eastern Pennsylvania Conference of The UMC</t>
  </si>
  <si>
    <t>Surplus (Deficit)</t>
  </si>
  <si>
    <t xml:space="preserve">Budget </t>
  </si>
  <si>
    <t>Carl H. Doerr</t>
  </si>
  <si>
    <t>Phila.: Holmesburg</t>
  </si>
  <si>
    <t>07460</t>
  </si>
  <si>
    <t>Jacquelyn Sheely</t>
  </si>
  <si>
    <t>Jerald Goodwin</t>
  </si>
  <si>
    <t>Darby: Union Memorial</t>
  </si>
  <si>
    <t>05110</t>
  </si>
  <si>
    <t>Christopher Wollyung</t>
  </si>
  <si>
    <t>Ringtown: Aurand Memorial</t>
  </si>
  <si>
    <t>02470</t>
  </si>
  <si>
    <t>Nancy J. Shane</t>
  </si>
  <si>
    <t>Nicolas Camacho</t>
  </si>
  <si>
    <t>Temporary Salaries</t>
  </si>
  <si>
    <t>Fall Session Registr</t>
  </si>
  <si>
    <t xml:space="preserve">General Conf.Support </t>
  </si>
  <si>
    <t xml:space="preserve">               01-59900-04-4010</t>
  </si>
  <si>
    <t xml:space="preserve">               01-53200-04-4015</t>
  </si>
  <si>
    <t>Telephone Addr Comm/World I Church and Society</t>
  </si>
  <si>
    <t xml:space="preserve">               01-53400-04-4015</t>
  </si>
  <si>
    <t xml:space="preserve">               01-55200-04-4015</t>
  </si>
  <si>
    <t xml:space="preserve">               01-55700-04-4015</t>
  </si>
  <si>
    <t xml:space="preserve">               01-56100-04-4015</t>
  </si>
  <si>
    <t xml:space="preserve">               01-58800-04-4015</t>
  </si>
  <si>
    <t>Publicity Addr Comm/World I Church and Society</t>
  </si>
  <si>
    <t xml:space="preserve">               01-59900-04-4015</t>
  </si>
  <si>
    <t>Misc Expenses Addr Comm/World I Church and Society</t>
  </si>
  <si>
    <t xml:space="preserve">               01-56100-04-4025</t>
  </si>
  <si>
    <t xml:space="preserve">               01-59900-04-4025</t>
  </si>
  <si>
    <t>Nuturing Disciples Resource Team</t>
  </si>
  <si>
    <t xml:space="preserve">               01-53400-04-4030</t>
  </si>
  <si>
    <t xml:space="preserve">               01-53500-04-4030</t>
  </si>
  <si>
    <t xml:space="preserve">               01-53505-04-4030</t>
  </si>
  <si>
    <t>Office Furniture</t>
  </si>
  <si>
    <t xml:space="preserve">               01-53600-04-4030</t>
  </si>
  <si>
    <t xml:space="preserve">               01-54000-04-4030</t>
  </si>
  <si>
    <t xml:space="preserve">               01-54200-04-4030</t>
  </si>
  <si>
    <t xml:space="preserve">               01-55100-04-4030</t>
  </si>
  <si>
    <t xml:space="preserve">               01-55300-04-4030</t>
  </si>
  <si>
    <t xml:space="preserve">               01-55700-04-4030</t>
  </si>
  <si>
    <t xml:space="preserve">               01-55701-04-4030</t>
  </si>
  <si>
    <t>Training &amp; Education Level II</t>
  </si>
  <si>
    <t xml:space="preserve">               01-56000-04-4030</t>
  </si>
  <si>
    <t xml:space="preserve">               01-56100-04-4030</t>
  </si>
  <si>
    <t xml:space="preserve">               01-58600-04-4030</t>
  </si>
  <si>
    <t>Consultations/World I Office of Human Relat</t>
  </si>
  <si>
    <t xml:space="preserve">               01-53200-04-4033</t>
  </si>
  <si>
    <t xml:space="preserve">               01-53400-04-4033</t>
  </si>
  <si>
    <t xml:space="preserve">               01-55200-04-4033</t>
  </si>
  <si>
    <t xml:space="preserve">               01-55700-04-4033</t>
  </si>
  <si>
    <t xml:space="preserve">               01-56100-04-4033</t>
  </si>
  <si>
    <t xml:space="preserve">               01-53200-04-4035</t>
  </si>
  <si>
    <t>Telephone Addr Comm/World I Religion &amp; Race</t>
  </si>
  <si>
    <t xml:space="preserve">               01-53400-04-4035</t>
  </si>
  <si>
    <t>Postage Addr Comm/World I Religion &amp; Race</t>
  </si>
  <si>
    <t xml:space="preserve">               01-53600-04-4035</t>
  </si>
  <si>
    <t>Materials &amp; Supplies Addr Comm/World I Religion &amp; Race</t>
  </si>
  <si>
    <t xml:space="preserve">               01-54000-04-4035</t>
  </si>
  <si>
    <t>Printing &amp; Copies Addr Comm/World I Religion &amp; Race</t>
  </si>
  <si>
    <t xml:space="preserve">               01-55200-04-4035</t>
  </si>
  <si>
    <t>Travel And Related C Addr Comm/World I Religion &amp; Race</t>
  </si>
  <si>
    <t xml:space="preserve">               01-56100-04-4035</t>
  </si>
  <si>
    <t xml:space="preserve">               01-56500-04-4035</t>
  </si>
  <si>
    <t>Honorariums Addr Comm/World I Religion &amp; Race</t>
  </si>
  <si>
    <t xml:space="preserve">               01-53200-04-4037</t>
  </si>
  <si>
    <t>Telephone Addr Comm/World I Status &amp; Role of Wome</t>
  </si>
  <si>
    <t xml:space="preserve">               01-53400-04-4037</t>
  </si>
  <si>
    <t>Postage Addr Comm/World I Status &amp; Role of Wome</t>
  </si>
  <si>
    <t xml:space="preserve">               01-53600-04-4037</t>
  </si>
  <si>
    <t>Materials &amp; Supplies Addr Comm/World I Status &amp; Role of Wome</t>
  </si>
  <si>
    <t xml:space="preserve">               01-55200-04-4037</t>
  </si>
  <si>
    <t>Travel And Related C Addr Comm/World I Status &amp; Role of Wome</t>
  </si>
  <si>
    <t xml:space="preserve">               01-55700-04-4037</t>
  </si>
  <si>
    <t>Training &amp; Education Addr Comm/World I Status &amp; Role of Wome</t>
  </si>
  <si>
    <t xml:space="preserve">               01-56000-04-4037</t>
  </si>
  <si>
    <t>Program Materials Addr Comm/World I Status &amp; Role of Wome</t>
  </si>
  <si>
    <t xml:space="preserve">               01-56100-04-4037</t>
  </si>
  <si>
    <t xml:space="preserve">               01-56112-04-4037</t>
  </si>
  <si>
    <t>Monitoring/Resourcin Addr Comm/World I Status &amp; Role of Wome</t>
  </si>
  <si>
    <t xml:space="preserve">               01-59600-04-4021</t>
  </si>
  <si>
    <t xml:space="preserve">               01-59600-04-4022</t>
  </si>
  <si>
    <t xml:space="preserve">               01-59600-04-4050</t>
  </si>
  <si>
    <t xml:space="preserve">               01-55200-04-4060</t>
  </si>
  <si>
    <t>Travel And Related C Addr Comm/World I Conf. Comm. Mission P</t>
  </si>
  <si>
    <t xml:space="preserve">               01-56100-04-4060</t>
  </si>
  <si>
    <t xml:space="preserve">               01-53200-05-5000</t>
  </si>
  <si>
    <t>Telephone Leadership RT Leadership Resource T</t>
  </si>
  <si>
    <t xml:space="preserve">               01-53400-05-5000</t>
  </si>
  <si>
    <t>Postage Leadership RT Leadership Resource T</t>
  </si>
  <si>
    <t xml:space="preserve">               01-53600-05-5000</t>
  </si>
  <si>
    <t>Materials &amp; Supplies Leadership RT Leadership Resource T</t>
  </si>
  <si>
    <t xml:space="preserve">               01-55200-05-5000</t>
  </si>
  <si>
    <t>Travel And Related C Leadership RT Leadership Resource T</t>
  </si>
  <si>
    <t xml:space="preserve">               01-56100-05-5000</t>
  </si>
  <si>
    <t xml:space="preserve">               01-59900-05-5000</t>
  </si>
  <si>
    <t>Laity Day Registrations</t>
  </si>
  <si>
    <t xml:space="preserve">               01-53200-05-5020</t>
  </si>
  <si>
    <t xml:space="preserve">               01-53400-05-5020</t>
  </si>
  <si>
    <t xml:space="preserve">               01-53600-05-5020</t>
  </si>
  <si>
    <t xml:space="preserve">               01-54000-05-5020</t>
  </si>
  <si>
    <t xml:space="preserve">               01-55200-05-5020</t>
  </si>
  <si>
    <t xml:space="preserve">               01-55700-05-5020</t>
  </si>
  <si>
    <t xml:space="preserve">               01-56100-05-5020</t>
  </si>
  <si>
    <t xml:space="preserve">               01-56117-05-5020</t>
  </si>
  <si>
    <t>Laity Day Expenses Leadership RT Board of Lay Ministry</t>
  </si>
  <si>
    <t>Reserve Use</t>
  </si>
  <si>
    <t xml:space="preserve">MEF Income Conf Ministerial Ed Fund </t>
  </si>
  <si>
    <t>Bequests &amp; Gifts Board of Ordained Ministry</t>
  </si>
  <si>
    <t>Bequests &amp; Gifts Conference Ministerial Ed Fund</t>
  </si>
  <si>
    <t>Krause Bequest</t>
  </si>
  <si>
    <t xml:space="preserve">                    01-50400-05-5030</t>
  </si>
  <si>
    <t xml:space="preserve">                    01-51000-05-5030</t>
  </si>
  <si>
    <t xml:space="preserve">                    01-53200-05-5030</t>
  </si>
  <si>
    <t xml:space="preserve">                    01-53400-05-5030</t>
  </si>
  <si>
    <t xml:space="preserve">                    01-53600-05-5030</t>
  </si>
  <si>
    <t xml:space="preserve">                    01-54000-05-5030</t>
  </si>
  <si>
    <t xml:space="preserve">                    01-54700-05-5030</t>
  </si>
  <si>
    <t>Professional Services - BOOM</t>
  </si>
  <si>
    <t xml:space="preserve">                    01-55200-05-5030</t>
  </si>
  <si>
    <t xml:space="preserve">                    01-55700-05-5030</t>
  </si>
  <si>
    <t xml:space="preserve">                    01-56000-05-5030</t>
  </si>
  <si>
    <t xml:space="preserve">                    01-56100-05-5030</t>
  </si>
  <si>
    <t xml:space="preserve">                    01-56120-05-5030</t>
  </si>
  <si>
    <t xml:space="preserve">                    01-58400-05-5030</t>
  </si>
  <si>
    <t xml:space="preserve">                    01-59900-05-5030</t>
  </si>
  <si>
    <t xml:space="preserve">                    01-41205-05-5032</t>
  </si>
  <si>
    <t>03100</t>
  </si>
  <si>
    <t>Chester: Trinity</t>
  </si>
  <si>
    <t>03120</t>
  </si>
  <si>
    <t>V. J. Durbano</t>
  </si>
  <si>
    <t>Huntingdon Valley</t>
  </si>
  <si>
    <t>07190</t>
  </si>
  <si>
    <t>Amy Emmett-Rardin</t>
  </si>
  <si>
    <t>Robert L. Everett</t>
  </si>
  <si>
    <t>Dorothy M. Field</t>
  </si>
  <si>
    <t>Crozerville</t>
  </si>
  <si>
    <t>03170</t>
  </si>
  <si>
    <t>Clyde S. Flaherty</t>
  </si>
  <si>
    <t>Elam</t>
  </si>
  <si>
    <t>03210</t>
  </si>
  <si>
    <t>Sandra Forrester Dufresne</t>
  </si>
  <si>
    <t>Andrew L. Foster</t>
  </si>
  <si>
    <t>Chester: Grace Community</t>
  </si>
  <si>
    <t>03090</t>
  </si>
  <si>
    <t>Ms.</t>
  </si>
  <si>
    <t>Ginny Gemmel</t>
  </si>
  <si>
    <t>Temple UMC</t>
  </si>
  <si>
    <t>Jonathan W. Hall</t>
  </si>
  <si>
    <t>Milton R. Hartenstine</t>
  </si>
  <si>
    <t>Parryville</t>
  </si>
  <si>
    <t>04440</t>
  </si>
  <si>
    <t>Joseph Healey</t>
  </si>
  <si>
    <t>Deborah Hoffman</t>
  </si>
  <si>
    <t>James A. Houck</t>
  </si>
  <si>
    <t>Karen E. Jones</t>
  </si>
  <si>
    <t>Sue J. Ketterer</t>
  </si>
  <si>
    <t>Andrew Krpata</t>
  </si>
  <si>
    <t>Phila.: Roxborough, Ridge Avenue</t>
  </si>
  <si>
    <t>05600</t>
  </si>
  <si>
    <t>Theodore Lebo</t>
  </si>
  <si>
    <t>Nancy M. Ludwig</t>
  </si>
  <si>
    <t>Carlotta Madison</t>
  </si>
  <si>
    <t>Brunilda Martinez</t>
  </si>
  <si>
    <t>Steven T. McComas</t>
  </si>
  <si>
    <t>Pipersville: Rolling Hills</t>
  </si>
  <si>
    <t>07650</t>
  </si>
  <si>
    <t>Gregory L. McGarvey</t>
  </si>
  <si>
    <t>William McNeal</t>
  </si>
  <si>
    <t>Mark D. Moore</t>
  </si>
  <si>
    <t>Bonniekaren Mullen-Holtz</t>
  </si>
  <si>
    <t>Bristol: First</t>
  </si>
  <si>
    <t>07050</t>
  </si>
  <si>
    <t>S. J. Mundell</t>
  </si>
  <si>
    <t>Joseph H. Murton</t>
  </si>
  <si>
    <t>Dorry Newcomer</t>
  </si>
  <si>
    <t>Bristol: Harriman</t>
  </si>
  <si>
    <t>07060</t>
  </si>
  <si>
    <t>Wendy Orzolek</t>
  </si>
  <si>
    <t>John T. Parker</t>
  </si>
  <si>
    <t>New Philadelphia UMC</t>
  </si>
  <si>
    <t>Jessica L. Ross</t>
  </si>
  <si>
    <t>Clifton Heights UMC</t>
  </si>
  <si>
    <t>Gerald J. Rounds</t>
  </si>
  <si>
    <t>Bethlehem: Fritz</t>
  </si>
  <si>
    <t>04150</t>
  </si>
  <si>
    <t>Janet L. Saddel</t>
  </si>
  <si>
    <t>Wanda M. Santos-Perez</t>
  </si>
  <si>
    <t>West Penn: Immanuel</t>
  </si>
  <si>
    <t>02540</t>
  </si>
  <si>
    <t>Evelyn A. Stupp</t>
  </si>
  <si>
    <t>Donald Sweimler</t>
  </si>
  <si>
    <t>Llewellyn</t>
  </si>
  <si>
    <t>02300</t>
  </si>
  <si>
    <t>Laura Welch</t>
  </si>
  <si>
    <t>William Wolfe</t>
  </si>
  <si>
    <t>Phila.: St. Philip's (Kensington Area Ministry)</t>
  </si>
  <si>
    <t>05440</t>
  </si>
  <si>
    <t>In Mississippi an amount was determined a few years ago (before I arrived) and it is adjusted by CFA in an amount not to exceed the CAC % increase.  The original amount was based on the top churches in salary in the conference.  The amount being paid has not kept up with the salaries of the lead churches in the conference and we are actually finding some coming on the cabinet are getting pay cuts!!  The amount is recommended by CFA and approved in the budget at annual conference.</t>
  </si>
  <si>
    <t>Mississippi</t>
  </si>
  <si>
    <t>Wisconsin has a Conference policy (recommended by CF&amp;A, with an amended version approved by the AC a number of years ago) that sets DS salaries at 126% of the CAC.</t>
  </si>
  <si>
    <t xml:space="preserve">Kansas </t>
  </si>
  <si>
    <t>DS salary is set at 95% of the Bishop’s. Housing allowance is the average of the top 50 in the Conference.Conference Personnel Policy and Practices Committee sets it and it is ratified by AC.</t>
  </si>
  <si>
    <t xml:space="preserve">Personnel committee of conference sets DS, DCM &amp; Treasurer salary level, all other staff flow from that amount.  We use (only in the past 3 years) a formula of no less than 130% of CAC and no more than 140% of CAC, so whatever percentage the CAC goes up, staff salaries go up by that amount.  In fact, 130% of CAC is where we are and it is a yearly struggle to keep it at least at that level. </t>
  </si>
  <si>
    <t>New England</t>
  </si>
  <si>
    <t>Salaries of District Superintendents shall be adjusted annually by the percentage change in the average (means) base salary of all full-time senior pastors in the Texas Annual Conference.</t>
  </si>
  <si>
    <t>Texas</t>
  </si>
  <si>
    <t>Utilizes Total Compensation Packages for clergy when making appt’s.  This includes salary, health benefits, pension, cpp and bpp.  It does not include housing.  We average the compensation packages for all full time appointments to local churches, then apply a factor of 1.5 to obtain the DS compensation package.  We also use this rate for the Director of Connectional Ministry.</t>
  </si>
  <si>
    <t>Western New York</t>
  </si>
  <si>
    <t>The increase in DS and other Cabinet level positions is the same percentage increase as is reflected in the salaries of those Elders in Full Membership of Conference who serve as Senior Pastors of churches within the Conference.</t>
  </si>
  <si>
    <t>Central Texas</t>
  </si>
  <si>
    <t>The Iowa Conference uses a percent of the Bishop’s salary for each year in determining the salary for the DS.  Also, a percent of the Bishop’s salary is what is used to set minimum compensation for our Equitable Compensation Commission.</t>
  </si>
  <si>
    <t>Iowa</t>
  </si>
  <si>
    <t>In Virginia each of the DSs have different salaries.  A change was made from the conference floor last year and continued for 2008:  that each DS get the same dollar increase.  Before that they received the same percentage increase.</t>
  </si>
  <si>
    <t>Virginia</t>
  </si>
  <si>
    <t xml:space="preserve">South Carolina has the policy of 140% of the CAC.  However, due to some glitches in reporting, that policy has not been followed for 3 years.  I suspect that we will return to it, but I can't guarantee it. </t>
  </si>
  <si>
    <t>South Carolina</t>
  </si>
  <si>
    <t>The formula used is to average the top ten salaries paid, and then add 3% to that figure to compensate for using the current year information.    As I indicated that is the official formula, however,  there have been years when we have not used the formula but used the percentage that is being used by our Commission on Equitable Compensation as they set minimums, etc.</t>
  </si>
  <si>
    <t xml:space="preserve">Central Pennsylvania </t>
  </si>
  <si>
    <t>A guideline we have attempted to use in the past was to increase the salary by the increase in the conference average compensation.  However, over the last few years, it has been less than that.</t>
  </si>
  <si>
    <t>Conference</t>
  </si>
  <si>
    <t>North Georgia</t>
  </si>
  <si>
    <t>HOW COMPENSATION DETERMINED FOR DS</t>
  </si>
  <si>
    <t>Douglas E. Smith</t>
  </si>
  <si>
    <t>Bumkoo Chung</t>
  </si>
  <si>
    <t>DeLois Johnson</t>
  </si>
  <si>
    <t>Phila.: Hancock St John's</t>
  </si>
  <si>
    <t>05405</t>
  </si>
  <si>
    <t>Donna Jones</t>
  </si>
  <si>
    <t>6269</t>
  </si>
  <si>
    <t>Robert G. Young-White</t>
  </si>
  <si>
    <t>Mary C. Miller</t>
  </si>
  <si>
    <t>Bensalem</t>
  </si>
  <si>
    <t>07030</t>
  </si>
  <si>
    <t>Cynthia E. Skripak</t>
  </si>
  <si>
    <t>Croydon: Wilkinson Memorial</t>
  </si>
  <si>
    <t>07100</t>
  </si>
  <si>
    <t>Cynthia L. Brubaker</t>
  </si>
  <si>
    <t>Lighthouse Fellowship</t>
  </si>
  <si>
    <t>07165</t>
  </si>
  <si>
    <t>Sunil Balasundaram</t>
  </si>
  <si>
    <t>Solebury</t>
  </si>
  <si>
    <t>07280</t>
  </si>
  <si>
    <t>Barbara J. Seekford</t>
  </si>
  <si>
    <t>Phila.: Bustleton</t>
  </si>
  <si>
    <t>07340</t>
  </si>
  <si>
    <t>Grant L. Johnson</t>
  </si>
  <si>
    <t>Phila.: Grace</t>
  </si>
  <si>
    <t>07510</t>
  </si>
  <si>
    <t>Tracy A. Duncan</t>
  </si>
  <si>
    <t>Phila.: True Worship Memorial</t>
  </si>
  <si>
    <t>31417</t>
  </si>
  <si>
    <t>CLERGY NAME</t>
  </si>
  <si>
    <t xml:space="preserve">TOTAL </t>
  </si>
  <si>
    <t>COMPENSATION</t>
  </si>
  <si>
    <t>CHURCH</t>
  </si>
  <si>
    <t>Yadeline Lopez</t>
  </si>
  <si>
    <t>Christine Eddy</t>
  </si>
  <si>
    <t xml:space="preserve">    4. Training &amp; Education Grants</t>
  </si>
  <si>
    <t xml:space="preserve">  f.  Board Expenses/ Travel/Safety Committee</t>
  </si>
  <si>
    <t xml:space="preserve">      6.   United Methodist Appalachian Development Ministry Network</t>
  </si>
  <si>
    <t xml:space="preserve">      2.   New Church Starts/Redevelopment</t>
  </si>
  <si>
    <t xml:space="preserve">      3. Racial- Ethnic Ministries</t>
  </si>
  <si>
    <t xml:space="preserve">G. Pool of Funds </t>
  </si>
  <si>
    <t>H. World Services</t>
  </si>
  <si>
    <t xml:space="preserve">I. Total Ministry </t>
  </si>
  <si>
    <t xml:space="preserve">J. Payroll </t>
  </si>
  <si>
    <t>K.  Provision for MPP/CPP</t>
  </si>
  <si>
    <t>TOTAL</t>
  </si>
  <si>
    <t>BUDGET 2009</t>
  </si>
  <si>
    <t>LEADERSHIP</t>
  </si>
  <si>
    <t>CONGREGATIONAL</t>
  </si>
  <si>
    <t>DEVELOPMENT</t>
  </si>
  <si>
    <t>MINISTRIES</t>
  </si>
  <si>
    <t>PAYROLL</t>
  </si>
  <si>
    <t xml:space="preserve"> OF POVERTY</t>
  </si>
  <si>
    <t>ELIMAINATION</t>
  </si>
  <si>
    <t>HEALTH</t>
  </si>
  <si>
    <t>GLOBAL</t>
  </si>
  <si>
    <t>ESSENTIAL</t>
  </si>
  <si>
    <t>MINISTRY</t>
  </si>
  <si>
    <t>WORLD SERVICE</t>
  </si>
  <si>
    <t>GENERAL CHURCH OTHER</t>
  </si>
  <si>
    <t>DISCIPLINARY</t>
  </si>
  <si>
    <t>ELIMAINATION OF POVERTY</t>
  </si>
  <si>
    <t>GLOBAL HEALTH</t>
  </si>
  <si>
    <t>ESSENTIAL MINISTRIES</t>
  </si>
  <si>
    <t>ANNUAL CONFERENCE</t>
  </si>
  <si>
    <t>Sarah Young</t>
  </si>
  <si>
    <t>District Resource Associate</t>
  </si>
  <si>
    <t>Peter T. DiNofia</t>
  </si>
  <si>
    <t>PAYROLL 2010</t>
  </si>
  <si>
    <t>Helen Eachus</t>
  </si>
  <si>
    <t>Admin. Assistant</t>
  </si>
  <si>
    <t>Dir Urban and Global</t>
  </si>
  <si>
    <t>Outsource</t>
  </si>
  <si>
    <t>Totals</t>
  </si>
  <si>
    <t>to</t>
  </si>
  <si>
    <t>Contingency</t>
  </si>
  <si>
    <t>from</t>
  </si>
  <si>
    <t>Changes 2008</t>
  </si>
  <si>
    <t>Grand Totals</t>
  </si>
  <si>
    <t>Changes 2009</t>
  </si>
  <si>
    <t>David Napoleon</t>
  </si>
  <si>
    <t>Programming/Training</t>
  </si>
  <si>
    <t xml:space="preserve">      8. Conference Committee on Mission Personnel</t>
  </si>
  <si>
    <t>Total Addressing Community and World Issues Resource Team</t>
  </si>
  <si>
    <t xml:space="preserve"> E. Leadership Resource Team</t>
  </si>
  <si>
    <t xml:space="preserve">      1.   Board of Lay Ministries</t>
  </si>
  <si>
    <t xml:space="preserve">      2.   Board of Ordained Ministry</t>
  </si>
  <si>
    <t>Schedule: Board of Ordained Ministry</t>
  </si>
  <si>
    <t xml:space="preserve">  a. Administrative Expenses</t>
  </si>
  <si>
    <t xml:space="preserve">    1. Salaries</t>
  </si>
  <si>
    <t xml:space="preserve">    2. Telephone</t>
  </si>
  <si>
    <t xml:space="preserve">    3. Postage</t>
  </si>
  <si>
    <t xml:space="preserve">    4. Materials and Supplies</t>
  </si>
  <si>
    <t xml:space="preserve">    5. Printing</t>
  </si>
  <si>
    <t xml:space="preserve">    6. B. O. M. Travel and other costs</t>
  </si>
  <si>
    <t xml:space="preserve">    7. District Programming</t>
  </si>
  <si>
    <t xml:space="preserve">    8. Interview &amp; Retreat</t>
  </si>
  <si>
    <t xml:space="preserve">  Total Administrative Expenses</t>
  </si>
  <si>
    <t xml:space="preserve">  b. Programmatic Expenses</t>
  </si>
  <si>
    <t xml:space="preserve">    1. Retiree Programs</t>
  </si>
  <si>
    <t xml:space="preserve">    2. Training and Education</t>
  </si>
  <si>
    <t xml:space="preserve">    3. Ordination Service</t>
  </si>
  <si>
    <t xml:space="preserve">    4. District Programming</t>
  </si>
  <si>
    <t xml:space="preserve">    5. Miscellaneous/ Seminary Visitation</t>
  </si>
  <si>
    <t xml:space="preserve">  Total Programmatic Expenses</t>
  </si>
  <si>
    <t xml:space="preserve">  c. Pastoral Care (Net unbudgeted misc. exp.)</t>
  </si>
  <si>
    <t xml:space="preserve">    1. Telephone/Postage</t>
  </si>
  <si>
    <t xml:space="preserve">    2. Printing and Supplies</t>
  </si>
  <si>
    <t xml:space="preserve">    3. Professional Services/Stipends/Honoraria</t>
  </si>
  <si>
    <t xml:space="preserve">    4. Training &amp; Education</t>
  </si>
  <si>
    <t xml:space="preserve">    5. Workshops &amp; Seminars</t>
  </si>
  <si>
    <t xml:space="preserve">  Total Pastoral Care</t>
  </si>
  <si>
    <t>Total Support - Board of Ordained Ministry</t>
  </si>
  <si>
    <t>MEF Transfer for Pastoral Care- Professional Services</t>
  </si>
  <si>
    <t xml:space="preserve">      3.   District Superintendents Fund</t>
  </si>
  <si>
    <t>Schedule: District Superintendents Fund</t>
  </si>
  <si>
    <t xml:space="preserve">  3. Discretionary Funds</t>
  </si>
  <si>
    <t xml:space="preserve">  4. Telephone</t>
  </si>
  <si>
    <t xml:space="preserve">  5. Postage</t>
  </si>
  <si>
    <t xml:space="preserve">  6. Office Expenses &amp; supplies</t>
  </si>
  <si>
    <t xml:space="preserve">  7. Program Materials</t>
  </si>
  <si>
    <t xml:space="preserve">  8.  Cabinet Mission and Ministry</t>
  </si>
  <si>
    <t xml:space="preserve">  9.  Special Care Funding</t>
  </si>
  <si>
    <t xml:space="preserve"> 10. District Transformation</t>
  </si>
  <si>
    <t xml:space="preserve"> 11.  District Programs</t>
  </si>
  <si>
    <t xml:space="preserve"> 12.  Cabinet Resources and Training</t>
  </si>
  <si>
    <t xml:space="preserve"> 13. District IRP Churches</t>
  </si>
  <si>
    <t xml:space="preserve"> 14. DS &amp; DRA Training &amp; Resourcing</t>
  </si>
  <si>
    <t>Transfer from Other Ministries</t>
  </si>
  <si>
    <t>Hosier Housing Allowance</t>
  </si>
  <si>
    <t xml:space="preserve">      4.   Lay Training Scholarships Fund</t>
  </si>
  <si>
    <t xml:space="preserve">      5.   Committee on Nominations</t>
  </si>
  <si>
    <t>Total Leadership Resource Team</t>
  </si>
  <si>
    <t xml:space="preserve"> F.  Administrative Support Resource Team</t>
  </si>
  <si>
    <t xml:space="preserve">      1.   Office of Administrative Ministries</t>
  </si>
  <si>
    <t>Schedule: Office of Administrative Ministries</t>
  </si>
  <si>
    <t>Expenses</t>
  </si>
  <si>
    <t xml:space="preserve">  Workers' Compensation</t>
  </si>
  <si>
    <t xml:space="preserve">  Vehicle Maintenance</t>
  </si>
  <si>
    <t xml:space="preserve">  Equipment Maintenance</t>
  </si>
  <si>
    <t xml:space="preserve">  Equipment Rental</t>
  </si>
  <si>
    <t xml:space="preserve">  Auto Lease</t>
  </si>
  <si>
    <t xml:space="preserve">  Copier Lease &amp; Maintenance</t>
  </si>
  <si>
    <t xml:space="preserve">  Mailing Systems Lease &amp; Maintenance</t>
  </si>
  <si>
    <t xml:space="preserve">  Auto Insurance</t>
  </si>
  <si>
    <t xml:space="preserve">  Auto Registration</t>
  </si>
  <si>
    <t xml:space="preserve">  Telephone</t>
  </si>
  <si>
    <t xml:space="preserve">  Postage</t>
  </si>
  <si>
    <t xml:space="preserve">  Small Tools &amp; Equipment</t>
  </si>
  <si>
    <t xml:space="preserve">  Materials and Supplies</t>
  </si>
  <si>
    <t xml:space="preserve">  Printing</t>
  </si>
  <si>
    <t xml:space="preserve">  Dues &amp; Subscriptions</t>
  </si>
  <si>
    <t xml:space="preserve">  Data Processing</t>
  </si>
  <si>
    <t xml:space="preserve">  Computer Consulting</t>
  </si>
  <si>
    <t xml:space="preserve">  Auditing &amp; Bonding</t>
  </si>
  <si>
    <t xml:space="preserve">  Professional Expense Reimbursement</t>
  </si>
  <si>
    <t xml:space="preserve">  Staff Expense Reimbursement</t>
  </si>
  <si>
    <t xml:space="preserve">  Staff Training</t>
  </si>
  <si>
    <t xml:space="preserve">  Gasoline</t>
  </si>
  <si>
    <t xml:space="preserve">  Program Expense</t>
  </si>
  <si>
    <t>Budget Reduction</t>
  </si>
  <si>
    <t>Income</t>
  </si>
  <si>
    <t xml:space="preserve">  Interest and Dividends</t>
  </si>
  <si>
    <t xml:space="preserve">  Misc. Income</t>
  </si>
  <si>
    <t xml:space="preserve">  Postage Recovery</t>
  </si>
  <si>
    <t xml:space="preserve">  Supplies &amp; Copy Recovery</t>
  </si>
  <si>
    <t xml:space="preserve">  Networking Recovery</t>
  </si>
  <si>
    <t xml:space="preserve">  Accounting Charges</t>
  </si>
  <si>
    <t>Total Income</t>
  </si>
  <si>
    <t xml:space="preserve">      2.   Area Episcopacy Committee</t>
  </si>
  <si>
    <t xml:space="preserve">      3.   Bishop's Area Expenses</t>
  </si>
  <si>
    <t xml:space="preserve">      4.   Archives and History</t>
  </si>
  <si>
    <t xml:space="preserve">      5.   Board of Trustees</t>
  </si>
  <si>
    <t>Schedule: Board of Trustees</t>
  </si>
  <si>
    <t xml:space="preserve">  a. Parsonages</t>
  </si>
  <si>
    <t xml:space="preserve">     1. Episcopal Residence</t>
  </si>
  <si>
    <t xml:space="preserve">         Expenses</t>
  </si>
  <si>
    <t xml:space="preserve">         GCFA Grant</t>
  </si>
  <si>
    <t xml:space="preserve">         Investment Income</t>
  </si>
  <si>
    <t xml:space="preserve">         Pen/Del Conference</t>
  </si>
  <si>
    <t xml:space="preserve">         Net Episcopal Residence</t>
  </si>
  <si>
    <t xml:space="preserve">     2. District Superintendents' Parsonages</t>
  </si>
  <si>
    <t xml:space="preserve">  b. Conference Office Building</t>
  </si>
  <si>
    <t xml:space="preserve">     1. Utilities</t>
  </si>
  <si>
    <t xml:space="preserve">     2. Building Maintenance</t>
  </si>
  <si>
    <t xml:space="preserve">     3. Grounds Upkeep</t>
  </si>
  <si>
    <t xml:space="preserve">     4. Contract Maintenance</t>
  </si>
  <si>
    <t xml:space="preserve">     5. Housekeeping</t>
  </si>
  <si>
    <t xml:space="preserve">     6. Fire &amp; Liability Insurance</t>
  </si>
  <si>
    <t xml:space="preserve">     7. Real Estate Taxes</t>
  </si>
  <si>
    <t xml:space="preserve">     8. Equipment</t>
  </si>
  <si>
    <t xml:space="preserve">     9. Trash</t>
  </si>
  <si>
    <t xml:space="preserve">    10. Sign</t>
  </si>
  <si>
    <t xml:space="preserve">    11. Miscellaneous</t>
  </si>
  <si>
    <t xml:space="preserve">  c. Improvements/Adm. Exp- Parsonage/Office</t>
  </si>
  <si>
    <t xml:space="preserve">  d. Legal Counsel</t>
  </si>
  <si>
    <t xml:space="preserve">  e. Residence Maintenance</t>
  </si>
  <si>
    <t xml:space="preserve">  f.  Conference Office Renovation</t>
  </si>
  <si>
    <t xml:space="preserve">  g. Urban Office Maint.</t>
  </si>
  <si>
    <t xml:space="preserve">  h. Directors/ Officers Insurance</t>
  </si>
  <si>
    <t xml:space="preserve">  j. Cemetery Care</t>
  </si>
  <si>
    <t>Net Expenses</t>
  </si>
  <si>
    <t>Rental Income</t>
  </si>
  <si>
    <t>Transfer from Parsonage Fund</t>
  </si>
  <si>
    <t>Interest Income</t>
  </si>
  <si>
    <t xml:space="preserve">      6.   Office of Communications &amp; Interpretation</t>
  </si>
  <si>
    <t>Schedule: Communications and Interpretation</t>
  </si>
  <si>
    <t xml:space="preserve">  1.Monthly Publication Writer/Editor &amp; Layout</t>
  </si>
  <si>
    <t xml:space="preserve">  2.Web Site Design (Internet Design)</t>
  </si>
  <si>
    <t xml:space="preserve">  3.Professional Expense Reimbursement</t>
  </si>
  <si>
    <t xml:space="preserve">  4.Workers' Compensation</t>
  </si>
  <si>
    <t xml:space="preserve">  5.Monthly Publication - Printing &amp; Postage</t>
  </si>
  <si>
    <t>Program Materials Admin Support RT Communications &amp; Inte</t>
  </si>
  <si>
    <t xml:space="preserve">               01-56100-06-6300</t>
  </si>
  <si>
    <t>Program Expenses Admin Support RT Communications &amp; Inte</t>
  </si>
  <si>
    <t>Training</t>
  </si>
  <si>
    <t xml:space="preserve">               01-56300-06-6300</t>
  </si>
  <si>
    <t xml:space="preserve">               01-59900-06-6300</t>
  </si>
  <si>
    <t xml:space="preserve">               01-50400-06-6210</t>
  </si>
  <si>
    <t>Salaries - Temporary - Admin Support RT - Conf. Secretary</t>
  </si>
  <si>
    <t xml:space="preserve">               01-53200-06-6210</t>
  </si>
  <si>
    <t>Telephone Admin Support RT Conference Secretary</t>
  </si>
  <si>
    <t xml:space="preserve">               01-53400-06-6210</t>
  </si>
  <si>
    <t>Postage Admin Support RT Conference Secretary</t>
  </si>
  <si>
    <t xml:space="preserve">               01-53600-06-6210</t>
  </si>
  <si>
    <t>Materials &amp; Supplies Admin Support RT Conference Secretary</t>
  </si>
  <si>
    <t xml:space="preserve">               01-54000-06-6210</t>
  </si>
  <si>
    <t xml:space="preserve">               01-53600-06-6215</t>
  </si>
  <si>
    <t xml:space="preserve">               01-54000-06-6215</t>
  </si>
  <si>
    <t xml:space="preserve">               01-55200-06-6215</t>
  </si>
  <si>
    <t>Travel And Related C Admin Support RT Conference Sessions</t>
  </si>
  <si>
    <t xml:space="preserve">               01-56006-06-6215</t>
  </si>
  <si>
    <t xml:space="preserve">               01-56120-06-6215</t>
  </si>
  <si>
    <t>Ordination Admin Support RT Conference Sessions</t>
  </si>
  <si>
    <t xml:space="preserve">               01-56121-06-6215</t>
  </si>
  <si>
    <t>Audio / Visual Admin Support RT Conference Sessions</t>
  </si>
  <si>
    <t xml:space="preserve">               01-56122-06-6215</t>
  </si>
  <si>
    <t>Ann.Conf.Computer Su Admin Support RT Conference Sessions</t>
  </si>
  <si>
    <t xml:space="preserve">               01-56123-06-6215</t>
  </si>
  <si>
    <t xml:space="preserve">               01-56500-06-6215</t>
  </si>
  <si>
    <t xml:space="preserve">               01-56900-06-6215</t>
  </si>
  <si>
    <t xml:space="preserve">               01-59900-06-6215</t>
  </si>
  <si>
    <t xml:space="preserve">               01-50400-06-6220</t>
  </si>
  <si>
    <t>Salaries - Temporary -Admin Support RT - Conf Statistician</t>
  </si>
  <si>
    <t xml:space="preserve">               01-53200-06-6220</t>
  </si>
  <si>
    <t>Telephone Admin Support RT Conference Statistici</t>
  </si>
  <si>
    <t xml:space="preserve">               01-53400-06-6220</t>
  </si>
  <si>
    <t xml:space="preserve">               01-53600-06-6220</t>
  </si>
  <si>
    <t xml:space="preserve">               01-54000-06-6220</t>
  </si>
  <si>
    <t xml:space="preserve">               01-54700-06-6220</t>
  </si>
  <si>
    <t xml:space="preserve">               01-55200-06-6220</t>
  </si>
  <si>
    <t>Travel And Related C Admin Support RT Conference Statistici</t>
  </si>
  <si>
    <t xml:space="preserve">               01-55700-06-6220</t>
  </si>
  <si>
    <t xml:space="preserve">          Council on Finance and Administration</t>
  </si>
  <si>
    <t xml:space="preserve">               01-48900-06-6230</t>
  </si>
  <si>
    <t xml:space="preserve">               01-52605-06-6230</t>
  </si>
  <si>
    <t xml:space="preserve">               01-53200-06-6230</t>
  </si>
  <si>
    <t xml:space="preserve">               01-53400-06-6230</t>
  </si>
  <si>
    <t xml:space="preserve">               01-53600-06-6230</t>
  </si>
  <si>
    <t xml:space="preserve">               01-54000-06-6230</t>
  </si>
  <si>
    <t xml:space="preserve">               01-54200-06-6230</t>
  </si>
  <si>
    <t xml:space="preserve">               01-55200-00-6230</t>
  </si>
  <si>
    <t xml:space="preserve">               01-55200-06-6230</t>
  </si>
  <si>
    <t xml:space="preserve">               01-55700-06-6230</t>
  </si>
  <si>
    <t xml:space="preserve">               01-56100-06-6230</t>
  </si>
  <si>
    <t xml:space="preserve">               01-56300-06-6230</t>
  </si>
  <si>
    <t>Films &amp; Promotion Admin Support RT Council on Fin &amp; Admi</t>
  </si>
  <si>
    <t xml:space="preserve">               01-59900-06-6230</t>
  </si>
  <si>
    <t xml:space="preserve">          EPA-Peninsula Foundation</t>
  </si>
  <si>
    <t xml:space="preserve">               01-59600-06-6240</t>
  </si>
  <si>
    <t xml:space="preserve">          General/NE Jurisdictional Conference</t>
  </si>
  <si>
    <t xml:space="preserve">               01-55200-06-6250</t>
  </si>
  <si>
    <t xml:space="preserve">               01-59556-06-6250</t>
  </si>
  <si>
    <t xml:space="preserve">               01-59657-06-6250</t>
  </si>
  <si>
    <t xml:space="preserve">          Equitable Compensation</t>
  </si>
  <si>
    <t xml:space="preserve">                    01-50121-06-6401</t>
  </si>
  <si>
    <t>ECF Support - Central Distr</t>
  </si>
  <si>
    <t xml:space="preserve">                    01-50122-06-6401</t>
  </si>
  <si>
    <t>ECF Support - Northwest Distr</t>
  </si>
  <si>
    <t xml:space="preserve">                    01-50123-06-6401</t>
  </si>
  <si>
    <t>ECF support - Southeast Distr.</t>
  </si>
  <si>
    <t xml:space="preserve">                    01-50124-06-6401</t>
  </si>
  <si>
    <t>ECF Support - Northeast Dist</t>
  </si>
  <si>
    <t xml:space="preserve">                    01-50125-06-6401</t>
  </si>
  <si>
    <t>ECF Support - Other</t>
  </si>
  <si>
    <t xml:space="preserve">                    01-50126-06-6401</t>
  </si>
  <si>
    <t>ECF Support - Southwest Distr.</t>
  </si>
  <si>
    <t xml:space="preserve">                    01-50127-06-6401</t>
  </si>
  <si>
    <t>ECF Support - East Distr.</t>
  </si>
  <si>
    <t xml:space="preserve">                    01-41011-06-6411</t>
  </si>
  <si>
    <t xml:space="preserve">                    01-44000-06-6411</t>
  </si>
  <si>
    <t xml:space="preserve">                    01-45005-06-6411</t>
  </si>
  <si>
    <t>Bequests &amp; Gifts -Admin Supp RT-Equitable Comp Fund -Com Exp</t>
  </si>
  <si>
    <t xml:space="preserve">                    01-50121-06-6411</t>
  </si>
  <si>
    <t>Cabinet ECF Support - Central Distr</t>
  </si>
  <si>
    <t xml:space="preserve">                    01-50122-06-6411</t>
  </si>
  <si>
    <t>Cabinet ECF Support - Northwest Distr</t>
  </si>
  <si>
    <t xml:space="preserve">                    01-50123-06-6411</t>
  </si>
  <si>
    <t>Cabinet ECF support - Southeast Distr.</t>
  </si>
  <si>
    <t xml:space="preserve">                    01-50124-06-6411</t>
  </si>
  <si>
    <t>Cabinet ECF Support - Northeast Dist</t>
  </si>
  <si>
    <t xml:space="preserve">                    01-50125-06-6411</t>
  </si>
  <si>
    <t>Cabinet ECF Support - Other</t>
  </si>
  <si>
    <t xml:space="preserve">                    01-50126-06-6411</t>
  </si>
  <si>
    <t>Cabinet ECF Support - Southwest Distr.</t>
  </si>
  <si>
    <t xml:space="preserve">                    01-50127-06-6411</t>
  </si>
  <si>
    <t>Cabinet ECF Support - East Distr.</t>
  </si>
  <si>
    <t xml:space="preserve">                    01-53400-06-6411</t>
  </si>
  <si>
    <t xml:space="preserve">                    01-53600-06-6411</t>
  </si>
  <si>
    <t xml:space="preserve">                    01-54000-06-6411</t>
  </si>
  <si>
    <t xml:space="preserve">                    01-54200-06-6411</t>
  </si>
  <si>
    <t xml:space="preserve">                    01-54700-06-6411</t>
  </si>
  <si>
    <t xml:space="preserve">                    01-54770-06-6411</t>
  </si>
  <si>
    <t xml:space="preserve">                    01-55200-06-6411</t>
  </si>
  <si>
    <t xml:space="preserve">                    01-55700-06-6411</t>
  </si>
  <si>
    <t xml:space="preserve">          Human Resource Committee</t>
  </si>
  <si>
    <t xml:space="preserve">               01-53200-06-6280</t>
  </si>
  <si>
    <t>Telephone Admin Support RT HR Committee</t>
  </si>
  <si>
    <t xml:space="preserve">               01-53400-06-6280</t>
  </si>
  <si>
    <t>Postage Admin Support RT HR Committee</t>
  </si>
  <si>
    <t xml:space="preserve">               01-53600-06-6280</t>
  </si>
  <si>
    <t>Materials &amp; Supplies Admin Support RT HR Committee</t>
  </si>
  <si>
    <t xml:space="preserve">               01-54000-06-6280</t>
  </si>
  <si>
    <t>Printing &amp; Copies Admin Support RT HR Committee</t>
  </si>
  <si>
    <t xml:space="preserve">               01-56100-06-6280</t>
  </si>
  <si>
    <t xml:space="preserve">               01-59900-06-6280</t>
  </si>
  <si>
    <t>Misc Expenses Admin Support RT HR Committee</t>
  </si>
  <si>
    <t xml:space="preserve">          Moving Expenses</t>
  </si>
  <si>
    <t xml:space="preserve">               01-52610-06-6260</t>
  </si>
  <si>
    <t>Moving Insurance Admin Support RT Moving Expenses</t>
  </si>
  <si>
    <t xml:space="preserve">               01-55000-06-6260</t>
  </si>
  <si>
    <t xml:space="preserve">     Severance Pay</t>
  </si>
  <si>
    <t xml:space="preserve">          01-50110-00-0000</t>
  </si>
  <si>
    <t>Training/ Severance Pay</t>
  </si>
  <si>
    <t xml:space="preserve">     Total Severance Pay</t>
  </si>
  <si>
    <t xml:space="preserve">     Provision for MPP/CPP</t>
  </si>
  <si>
    <t xml:space="preserve">          01-56144-00-0000</t>
  </si>
  <si>
    <t>MPP/CPP Expenses</t>
  </si>
  <si>
    <t xml:space="preserve">     Total Provision for MPP/CPP</t>
  </si>
  <si>
    <t xml:space="preserve">          01-59999-00-0000</t>
  </si>
  <si>
    <t>Pool of Funds to be Allocated</t>
  </si>
  <si>
    <t>TOTAL EXPENSES</t>
  </si>
  <si>
    <t>NET SURPLUS/(DEFICIT)</t>
  </si>
  <si>
    <t>Office of Congregational Transformation</t>
  </si>
  <si>
    <t>Congregational Transformation Team</t>
  </si>
  <si>
    <t xml:space="preserve">Sub Total          </t>
  </si>
  <si>
    <t>Strategic Plan</t>
  </si>
  <si>
    <t>Sub Total</t>
  </si>
  <si>
    <t>Transformation Grants</t>
  </si>
  <si>
    <t>Total Congregational Transformation</t>
  </si>
  <si>
    <t xml:space="preserve">Miscellaneous Income </t>
  </si>
  <si>
    <t xml:space="preserve">Professional Service </t>
  </si>
  <si>
    <t>Misc Expenses</t>
  </si>
  <si>
    <t>Calling Disciples Resource Team</t>
  </si>
  <si>
    <t>Um App Dev Ministry Network</t>
  </si>
  <si>
    <t>New Church Starts</t>
  </si>
  <si>
    <t>UM Witness in PA</t>
  </si>
  <si>
    <t>Racial Ethnic Ministries</t>
  </si>
  <si>
    <t>Appropr CDRT Racial Ethnic Ministries</t>
  </si>
  <si>
    <t>Total - Calling Disciples Resource Team</t>
  </si>
  <si>
    <t>Nurturing Disciples Resource Team</t>
  </si>
  <si>
    <t>Office of Camping and Nuture Ministries</t>
  </si>
  <si>
    <t xml:space="preserve">Christian Edu/Worship/Older Adult Ministry </t>
  </si>
  <si>
    <t xml:space="preserve">Older Adult Ministri </t>
  </si>
  <si>
    <t>Youth and Young Adult Ministry</t>
  </si>
  <si>
    <t xml:space="preserve">Salaries </t>
  </si>
  <si>
    <t xml:space="preserve">Housing </t>
  </si>
  <si>
    <t>CCYM Meeting Expenses</t>
  </si>
  <si>
    <t xml:space="preserve">District/Conference  </t>
  </si>
  <si>
    <t xml:space="preserve">Mission/Outreach </t>
  </si>
  <si>
    <t xml:space="preserve">Young Adult Programm </t>
  </si>
  <si>
    <t>Total - Nurturing Disciples Resource Team</t>
  </si>
  <si>
    <t>Addressing Community and World Issues RT</t>
  </si>
  <si>
    <t>Office of Urban and Global Ministries</t>
  </si>
  <si>
    <t xml:space="preserve">Health &amp; Life Group  </t>
  </si>
  <si>
    <t>Maintenance - Building</t>
  </si>
  <si>
    <t xml:space="preserve">Equipment Rental </t>
  </si>
  <si>
    <t xml:space="preserve">Local Church Initiat </t>
  </si>
  <si>
    <t xml:space="preserve">Strengthening Black  </t>
  </si>
  <si>
    <t xml:space="preserve">Local Church Trainin </t>
  </si>
  <si>
    <t xml:space="preserve">Office Intern </t>
  </si>
  <si>
    <t xml:space="preserve">Publicity </t>
  </si>
  <si>
    <t>Church and Society</t>
  </si>
  <si>
    <t>Conference Missionary Secretary</t>
  </si>
  <si>
    <t>Office of Human Relations/Leadership Ministries</t>
  </si>
  <si>
    <t xml:space="preserve">HTW Registration </t>
  </si>
  <si>
    <t xml:space="preserve">Salaries -Director </t>
  </si>
  <si>
    <t xml:space="preserve">Dues &amp; Subscriptions </t>
  </si>
  <si>
    <t xml:space="preserve">HTW Training &amp; Education </t>
  </si>
  <si>
    <t xml:space="preserve"> I - Care Team</t>
  </si>
  <si>
    <t>Religion and Race</t>
  </si>
  <si>
    <t>Status and Role of Women</t>
  </si>
  <si>
    <t xml:space="preserve"> Metropolitan Christian Council of Philadelphia</t>
  </si>
  <si>
    <t xml:space="preserve">Appropriation </t>
  </si>
  <si>
    <t>Pennsylvania Council of Churches</t>
  </si>
  <si>
    <t>United Methodist Neighborhood Services</t>
  </si>
  <si>
    <t>United Methodist Witness in Pennsylvania</t>
  </si>
  <si>
    <t>Conference Committee on Mission Personnel</t>
  </si>
  <si>
    <t>Total - Address Community/ World Issues RT</t>
  </si>
  <si>
    <t>Leadership Resource Team</t>
  </si>
  <si>
    <t>Office of HR and Leadership Ministries</t>
  </si>
  <si>
    <t>Board of Lay Ministries</t>
  </si>
  <si>
    <t xml:space="preserve"> Administrative and Program Expenses</t>
  </si>
  <si>
    <t xml:space="preserve">District Programs </t>
  </si>
  <si>
    <t xml:space="preserve">Retiree Program </t>
  </si>
  <si>
    <t xml:space="preserve">Ordination Service </t>
  </si>
  <si>
    <t xml:space="preserve">Seminary Visitation </t>
  </si>
  <si>
    <t>Pastoral Care</t>
  </si>
  <si>
    <t xml:space="preserve">Workshop Registration </t>
  </si>
  <si>
    <t xml:space="preserve">Career Counseling </t>
  </si>
  <si>
    <t xml:space="preserve">Workshops, Seminars  </t>
  </si>
  <si>
    <t>Ministerial Education Expenses</t>
  </si>
  <si>
    <t xml:space="preserve">Vocational Testing Fees </t>
  </si>
  <si>
    <t xml:space="preserve">MEF Income </t>
  </si>
  <si>
    <t xml:space="preserve">Interest &amp; Dividend  </t>
  </si>
  <si>
    <t xml:space="preserve">Krause Bequest </t>
  </si>
  <si>
    <t xml:space="preserve">Vocational Discernment </t>
  </si>
  <si>
    <t>Lay Pastor Grants</t>
  </si>
  <si>
    <t>Basic Education Grants</t>
  </si>
  <si>
    <t>Continuing Education</t>
  </si>
  <si>
    <t xml:space="preserve">Mentor/Probationer Prog. </t>
  </si>
  <si>
    <t>Vocational Intern Prog</t>
  </si>
  <si>
    <t xml:space="preserve">Emerging Oppurtunities </t>
  </si>
  <si>
    <t xml:space="preserve">Ethnic Minority Recruitment </t>
  </si>
  <si>
    <t xml:space="preserve">Appropriation To Oth Leadership </t>
  </si>
  <si>
    <t>District Superintendents Fund</t>
  </si>
  <si>
    <t>Central District Office</t>
  </si>
  <si>
    <t xml:space="preserve">Salaries - Executive </t>
  </si>
  <si>
    <t xml:space="preserve">Salaries Dist. Resource Associate </t>
  </si>
  <si>
    <t xml:space="preserve">Health &amp; Life Group </t>
  </si>
  <si>
    <t>Northwest District Office</t>
  </si>
  <si>
    <t>Southeast District Office</t>
  </si>
  <si>
    <t>Northeast District Office</t>
  </si>
  <si>
    <t xml:space="preserve">Office Materials &amp; Supplies </t>
  </si>
  <si>
    <t xml:space="preserve">Discretionary Expense </t>
  </si>
  <si>
    <t>Southwest District Office</t>
  </si>
  <si>
    <t>East District Office</t>
  </si>
  <si>
    <t xml:space="preserve">Discretionary Expens </t>
  </si>
  <si>
    <t>Cabinet Mission and Ministry</t>
  </si>
  <si>
    <t xml:space="preserve">District IRP </t>
  </si>
  <si>
    <t xml:space="preserve">Contingency </t>
  </si>
  <si>
    <t>Total - District Superintendents Fund</t>
  </si>
  <si>
    <t>Lay Training Scholarship Fund</t>
  </si>
  <si>
    <t xml:space="preserve">Scholarships </t>
  </si>
  <si>
    <t xml:space="preserve"> Committee on Nominations</t>
  </si>
  <si>
    <t>UM Appalachian Development Ministry</t>
  </si>
  <si>
    <t>Total - Leadership Resource Team</t>
  </si>
  <si>
    <t>Administrative Support Resource Team</t>
  </si>
  <si>
    <t>Office of Administrative Ministries</t>
  </si>
  <si>
    <t xml:space="preserve">Postage Recovery </t>
  </si>
  <si>
    <t xml:space="preserve">Supp/Copying Recovery </t>
  </si>
  <si>
    <t xml:space="preserve">Networking Recovery </t>
  </si>
  <si>
    <t xml:space="preserve">Admin Ministry Recovery </t>
  </si>
  <si>
    <t xml:space="preserve">Interest &amp; Dividend </t>
  </si>
  <si>
    <t xml:space="preserve">Salaries - Treasurer/Exe .Dir. </t>
  </si>
  <si>
    <t>Vehicle Maintenance</t>
  </si>
  <si>
    <t xml:space="preserve">Maintenance - Buildi Admin </t>
  </si>
  <si>
    <t xml:space="preserve">Auto Replacement </t>
  </si>
  <si>
    <t>Phone Sys Replacemen A</t>
  </si>
  <si>
    <t>Copier Lease &amp; Maint</t>
  </si>
  <si>
    <t xml:space="preserve">Mailing Systems </t>
  </si>
  <si>
    <t xml:space="preserve">Auto Insurance </t>
  </si>
  <si>
    <t xml:space="preserve">Auto Registration </t>
  </si>
  <si>
    <t xml:space="preserve">Small Tools &amp; Equipm </t>
  </si>
  <si>
    <t xml:space="preserve">Data Processing </t>
  </si>
  <si>
    <t xml:space="preserve">MIS Consulting </t>
  </si>
  <si>
    <t xml:space="preserve">Auditing </t>
  </si>
  <si>
    <t>Travel And Related</t>
  </si>
  <si>
    <t xml:space="preserve">Gasoline </t>
  </si>
  <si>
    <t>Area Episcopacy Committee</t>
  </si>
  <si>
    <t>Bishop Area Expenses</t>
  </si>
  <si>
    <t>Appropriation To Bishops Area Expenses</t>
  </si>
  <si>
    <t>Appropriation To Area Episcopy Committee</t>
  </si>
  <si>
    <t xml:space="preserve"> Archives and History</t>
  </si>
  <si>
    <t>District Parsonages</t>
  </si>
  <si>
    <t>Central District Parsonage</t>
  </si>
  <si>
    <t xml:space="preserve">Utilities </t>
  </si>
  <si>
    <t xml:space="preserve"> Northwest District Parsonage</t>
  </si>
  <si>
    <t xml:space="preserve">Maintenance - Ground </t>
  </si>
  <si>
    <t xml:space="preserve">Trash Removal </t>
  </si>
  <si>
    <t xml:space="preserve">Fire &amp; Liability Ins </t>
  </si>
  <si>
    <t xml:space="preserve">Real Estate Taxes </t>
  </si>
  <si>
    <t>Southeast District Parsonage</t>
  </si>
  <si>
    <t>Northeast District Parsonage</t>
  </si>
  <si>
    <t>Southwest District Parsonage</t>
  </si>
  <si>
    <t>East District Parsonage</t>
  </si>
  <si>
    <t>Total Parsonage</t>
  </si>
  <si>
    <t>Episcopal Residence</t>
  </si>
  <si>
    <t xml:space="preserve">Support from GCFA </t>
  </si>
  <si>
    <t xml:space="preserve">Support From Pen. Conf. </t>
  </si>
  <si>
    <t xml:space="preserve">Utilities Admin Support </t>
  </si>
  <si>
    <t>Maintenance - Buildi</t>
  </si>
  <si>
    <t xml:space="preserve">Contract Maintenance </t>
  </si>
  <si>
    <t xml:space="preserve">Housekeeping </t>
  </si>
  <si>
    <t xml:space="preserve">Fire &amp; Liability </t>
  </si>
  <si>
    <t xml:space="preserve">Interest Expenses </t>
  </si>
  <si>
    <t>Total Episcopal Residence</t>
  </si>
  <si>
    <t>Conference Office Building</t>
  </si>
  <si>
    <t>Total Conference Office</t>
  </si>
  <si>
    <t>Total Board of Trustees</t>
  </si>
  <si>
    <t>Grand Total - Board of Trustees</t>
  </si>
  <si>
    <t>Int &amp; Dividnd</t>
  </si>
  <si>
    <t>Bequests &amp; Gifts</t>
  </si>
  <si>
    <t xml:space="preserve">Rental Income - Epis </t>
  </si>
  <si>
    <t xml:space="preserve">Rental Income - K.Gi </t>
  </si>
  <si>
    <t xml:space="preserve">Mortgage Income </t>
  </si>
  <si>
    <t xml:space="preserve">Maintenance - Buildi </t>
  </si>
  <si>
    <t>Maintenance Northwest</t>
  </si>
  <si>
    <t xml:space="preserve">Maintenance Southeast </t>
  </si>
  <si>
    <t xml:space="preserve">Maintenance Northeast </t>
  </si>
  <si>
    <t>Maintenance Southwest</t>
  </si>
  <si>
    <t>Maintenance East</t>
  </si>
  <si>
    <t xml:space="preserve">Maintenance - Cemetery Care </t>
  </si>
  <si>
    <t xml:space="preserve">D &amp; O Insurance </t>
  </si>
  <si>
    <t>Office of Communications and Interpretation</t>
  </si>
  <si>
    <t xml:space="preserve">Advertising Inc - Space Ads </t>
  </si>
  <si>
    <t xml:space="preserve">Advertising Inc - Classified Ads </t>
  </si>
  <si>
    <t xml:space="preserve">Subscription Income </t>
  </si>
  <si>
    <t>Salaries - Director Communications &amp; Interp</t>
  </si>
  <si>
    <t>Web Hosting &amp; Dues</t>
  </si>
  <si>
    <t xml:space="preserve">Films &amp; Promotion </t>
  </si>
  <si>
    <t>Total - Office of Commun and Interpretation</t>
  </si>
  <si>
    <t>Total - Conference Secretary</t>
  </si>
  <si>
    <t>Conference Session</t>
  </si>
  <si>
    <t>Advertising Inc</t>
  </si>
  <si>
    <t xml:space="preserve">Annual Conf Registration </t>
  </si>
  <si>
    <t xml:space="preserve">Annual Conference Display </t>
  </si>
  <si>
    <t xml:space="preserve">Child Care Expenses </t>
  </si>
  <si>
    <t>Honorariums</t>
  </si>
  <si>
    <t xml:space="preserve">Annual Conference </t>
  </si>
  <si>
    <t>Total - Conference Session</t>
  </si>
  <si>
    <t>Total - Conference Statistician</t>
  </si>
  <si>
    <t>Training &amp; Education</t>
  </si>
  <si>
    <t>Total - Council on Finance &amp; Administration</t>
  </si>
  <si>
    <t>Appropriation To Support RT EPA/PEN Foundation</t>
  </si>
  <si>
    <t>Total - EPA-Peninsula Foundation</t>
  </si>
  <si>
    <t xml:space="preserve">Conference Support </t>
  </si>
  <si>
    <t>Total - General/NE Jurisdictional Conference</t>
  </si>
  <si>
    <t>Equitable Comp. District Support</t>
  </si>
  <si>
    <t>Equitable Compensation Commision</t>
  </si>
  <si>
    <t xml:space="preserve">Int &amp; Dividnd </t>
  </si>
  <si>
    <t xml:space="preserve">Postage Admin Support </t>
  </si>
  <si>
    <t>Investment Advisory Fees</t>
  </si>
  <si>
    <t>Total Equitable Compensation</t>
  </si>
  <si>
    <t>Total -  Human Resource Committee</t>
  </si>
  <si>
    <t xml:space="preserve">Moving Expenses </t>
  </si>
  <si>
    <t>Total -  Moving Expenses</t>
  </si>
  <si>
    <t>Total Administrative Support ResourceTeam</t>
  </si>
  <si>
    <t>Total Pool Funds</t>
  </si>
  <si>
    <t xml:space="preserve">Actual </t>
  </si>
  <si>
    <t xml:space="preserve">                    01-53200-05-5032</t>
  </si>
  <si>
    <t xml:space="preserve">                    01-53400-05-5032</t>
  </si>
  <si>
    <t xml:space="preserve">                    01-53600-05-5032</t>
  </si>
  <si>
    <t xml:space="preserve">                    01-54000-05-5032</t>
  </si>
  <si>
    <t xml:space="preserve">                    01-54700-00-5032</t>
  </si>
  <si>
    <t>Professional Services</t>
  </si>
  <si>
    <t xml:space="preserve">                    01-54700-05-5032</t>
  </si>
  <si>
    <t xml:space="preserve">                    01-54800-05-5032</t>
  </si>
  <si>
    <t xml:space="preserve">                    01-54900-05-5032</t>
  </si>
  <si>
    <t xml:space="preserve">                    01-55200-05-5032</t>
  </si>
  <si>
    <t xml:space="preserve">                    01-55700-05-5032</t>
  </si>
  <si>
    <t xml:space="preserve">                    01-59900-05-5032</t>
  </si>
  <si>
    <t xml:space="preserve">                    01-41011-05-5034</t>
  </si>
  <si>
    <t xml:space="preserve">                    01-41305-05-5034</t>
  </si>
  <si>
    <t xml:space="preserve">                    01-41405-05-5034</t>
  </si>
  <si>
    <t xml:space="preserve">                    01-44000-05-5034</t>
  </si>
  <si>
    <t xml:space="preserve">                    01-45005-05-5034</t>
  </si>
  <si>
    <t xml:space="preserve">                    01-45010-05-5034</t>
  </si>
  <si>
    <t xml:space="preserve">                    01-54700-05-5034</t>
  </si>
  <si>
    <t xml:space="preserve">                    01-55400-05-5034</t>
  </si>
  <si>
    <t xml:space="preserve">                    01-55500-05-5034</t>
  </si>
  <si>
    <t xml:space="preserve">                    01-55501-05-5034</t>
  </si>
  <si>
    <t>Division of Deacons Expenses</t>
  </si>
  <si>
    <t xml:space="preserve">                    01-55600-05-5034</t>
  </si>
  <si>
    <t xml:space="preserve">                    01-55700-05-5034</t>
  </si>
  <si>
    <t xml:space="preserve">                    01-55800-05-5034</t>
  </si>
  <si>
    <t xml:space="preserve">                    01-56100-05-5034</t>
  </si>
  <si>
    <t xml:space="preserve">                    01-56154-05-5034</t>
  </si>
  <si>
    <t>Sabbatical Support</t>
  </si>
  <si>
    <t xml:space="preserve">                    01-58400-05-5034</t>
  </si>
  <si>
    <t xml:space="preserve">                    01-59600-05-5034</t>
  </si>
  <si>
    <t xml:space="preserve">                    01-59900-05-5034</t>
  </si>
  <si>
    <t>Total Board of Ordained Ministry</t>
  </si>
  <si>
    <t xml:space="preserve">                    01-50101-05-5101</t>
  </si>
  <si>
    <t xml:space="preserve">                    01-50300-05-5101</t>
  </si>
  <si>
    <t xml:space="preserve">                    01-51000-05-5101</t>
  </si>
  <si>
    <t xml:space="preserve">                    01-51200-05-5101</t>
  </si>
  <si>
    <t xml:space="preserve">                    01-51300-05-5101</t>
  </si>
  <si>
    <t xml:space="preserve">                    01-51400-05-5101</t>
  </si>
  <si>
    <t xml:space="preserve">                    01-53200-05-5101</t>
  </si>
  <si>
    <t xml:space="preserve">                    01-53400-05-5101</t>
  </si>
  <si>
    <t xml:space="preserve">                    01-53600-05-5101</t>
  </si>
  <si>
    <t xml:space="preserve">                    01-54000-05-5101</t>
  </si>
  <si>
    <t>Copier Lease</t>
  </si>
  <si>
    <t xml:space="preserve">                    01-54400-05-5101</t>
  </si>
  <si>
    <t xml:space="preserve">                    01-55100-05-5101</t>
  </si>
  <si>
    <t xml:space="preserve">                    01-55300-05-5101</t>
  </si>
  <si>
    <t xml:space="preserve">                    01-55301-05-5101</t>
  </si>
  <si>
    <t>Professional Expense Reimb. - Other</t>
  </si>
  <si>
    <t xml:space="preserve">                    01-56000-05-5101</t>
  </si>
  <si>
    <t>District Program Expense</t>
  </si>
  <si>
    <t xml:space="preserve">                    01-57200-05-5101</t>
  </si>
  <si>
    <t>Discretionary Expense</t>
  </si>
  <si>
    <t xml:space="preserve">                    01-59900-05-5101</t>
  </si>
  <si>
    <t>Misc Expenses Leadership RT Central Dist Suprdt</t>
  </si>
  <si>
    <t xml:space="preserve">                    01-50101-05-5102</t>
  </si>
  <si>
    <t xml:space="preserve">                    01-50300-05-5102</t>
  </si>
  <si>
    <t xml:space="preserve">                    01-51000-05-5102</t>
  </si>
  <si>
    <t xml:space="preserve">                    01-51200-05-5102</t>
  </si>
  <si>
    <t xml:space="preserve">                    01-51300-05-5102</t>
  </si>
  <si>
    <t xml:space="preserve">                    01-51400-05-5102</t>
  </si>
  <si>
    <t xml:space="preserve">                    01-53200-05-5102</t>
  </si>
  <si>
    <t xml:space="preserve">                    01-53400-05-5102</t>
  </si>
  <si>
    <t xml:space="preserve">                    01-53600-05-5102</t>
  </si>
  <si>
    <t xml:space="preserve">                    01-54000-05-5102</t>
  </si>
  <si>
    <t xml:space="preserve">                    01-54400-05-5102</t>
  </si>
  <si>
    <t xml:space="preserve">                    01-55100-05-5102</t>
  </si>
  <si>
    <t xml:space="preserve">                    01-55200-05-5102</t>
  </si>
  <si>
    <t xml:space="preserve">                    01-55300-00-5102</t>
  </si>
  <si>
    <t>Professional Expense Reimbursement</t>
  </si>
  <si>
    <t xml:space="preserve">                    01-55300-05-5102</t>
  </si>
  <si>
    <t xml:space="preserve">                    01-56000-05-5102</t>
  </si>
  <si>
    <t xml:space="preserve">                    01-57200-05-5102</t>
  </si>
  <si>
    <t xml:space="preserve">                    01-59900-05-5102</t>
  </si>
  <si>
    <t>Misc Expenses Leadership RT Northwest Dist Suprdt Fu</t>
  </si>
  <si>
    <t xml:space="preserve">                    01-50101-05-5103</t>
  </si>
  <si>
    <t xml:space="preserve">                    01-50300-05-5103</t>
  </si>
  <si>
    <t xml:space="preserve">                    01-51000-05-5103</t>
  </si>
  <si>
    <t xml:space="preserve">                    01-51200-05-5103</t>
  </si>
  <si>
    <t xml:space="preserve">                    01-51300-05-5103</t>
  </si>
  <si>
    <t xml:space="preserve">                    01-51400-05-5103</t>
  </si>
  <si>
    <t xml:space="preserve">                    01-52500-05-5103</t>
  </si>
  <si>
    <t xml:space="preserve">                    01-53200-05-5103</t>
  </si>
  <si>
    <t xml:space="preserve">                    01-53400-05-5103</t>
  </si>
  <si>
    <t xml:space="preserve">                    01-53600-05-5103</t>
  </si>
  <si>
    <t xml:space="preserve">                    01-54400-05-5103</t>
  </si>
  <si>
    <t xml:space="preserve">                    01-55100-05-5103</t>
  </si>
  <si>
    <t xml:space="preserve">                    01-55300-05-5103</t>
  </si>
  <si>
    <t xml:space="preserve">                    01-55301-05-5103</t>
  </si>
  <si>
    <t xml:space="preserve">                    01-56000-05-5103</t>
  </si>
  <si>
    <t xml:space="preserve">                    01-57200-05-5103</t>
  </si>
  <si>
    <t xml:space="preserve">                    01-59900-05-5103</t>
  </si>
  <si>
    <t>Misc Expenses Leadership RT Southeast Dist Suprdt F</t>
  </si>
  <si>
    <t xml:space="preserve">                    01-50101-05-5104</t>
  </si>
  <si>
    <t xml:space="preserve">                    01-50300-05-5104</t>
  </si>
  <si>
    <t xml:space="preserve">                    01-51000-05-5104</t>
  </si>
  <si>
    <t xml:space="preserve">                    01-51200-05-5104</t>
  </si>
  <si>
    <t xml:space="preserve">                    01-51300-05-5104</t>
  </si>
  <si>
    <t xml:space="preserve">                    01-51400-05-5104</t>
  </si>
  <si>
    <t>Printing &amp; Copies Admin Support RT Conference Secretary</t>
  </si>
  <si>
    <t xml:space="preserve">               01-55200-06-6210</t>
  </si>
  <si>
    <t>Travel And Related C Admin Support RT Conference Secretary</t>
  </si>
  <si>
    <t xml:space="preserve">               01-55700-06-6210</t>
  </si>
  <si>
    <t>Training &amp; Education Admin Support RT Conference Secretary</t>
  </si>
  <si>
    <t xml:space="preserve">               01-56500-06-6210</t>
  </si>
  <si>
    <t>Honorariums Admin Support RT Conference Secretary</t>
  </si>
  <si>
    <t xml:space="preserve">               01-40605-06-6215</t>
  </si>
  <si>
    <t xml:space="preserve">               01-41220-06-6215</t>
  </si>
  <si>
    <t xml:space="preserve">               01-41221-06-6215</t>
  </si>
  <si>
    <t>Online Registration</t>
  </si>
  <si>
    <t xml:space="preserve">               01-41225-06-6215</t>
  </si>
  <si>
    <t>Sponsorships</t>
  </si>
  <si>
    <t xml:space="preserve">               01-45005-06-6215</t>
  </si>
  <si>
    <t xml:space="preserve">               01-48800-06-6215</t>
  </si>
  <si>
    <t xml:space="preserve">               01-48900-06-6215</t>
  </si>
  <si>
    <t xml:space="preserve">               01-50400-06-6215</t>
  </si>
  <si>
    <t>Salaries - Temporary -Admin Support RT- Conference Sessions</t>
  </si>
  <si>
    <t xml:space="preserve">               01-53200-06-6215</t>
  </si>
  <si>
    <t xml:space="preserve">               01-53400-06-6215</t>
  </si>
  <si>
    <t xml:space="preserve">  b. Supplies</t>
  </si>
  <si>
    <t xml:space="preserve">  c. Printing</t>
  </si>
  <si>
    <t xml:space="preserve">  d. Dues/Subscriptions</t>
  </si>
  <si>
    <t xml:space="preserve">  e. Professional Services</t>
  </si>
  <si>
    <t xml:space="preserve">  f. Travel Expenses</t>
  </si>
  <si>
    <t xml:space="preserve">  g. Training</t>
  </si>
  <si>
    <t>Income from Interest &amp; Dividends</t>
  </si>
  <si>
    <t xml:space="preserve">      13.  General/NE Jurisdictional Conferences</t>
  </si>
  <si>
    <t xml:space="preserve">      14.  Human Resource Committee</t>
  </si>
  <si>
    <t xml:space="preserve">      15.  Moving Expenses</t>
  </si>
  <si>
    <t>F. Total Administrative Support Resource Team</t>
  </si>
  <si>
    <t xml:space="preserve">G. Payroll </t>
  </si>
  <si>
    <t>H. Severance Pay/ Training</t>
  </si>
  <si>
    <t>I.  Provision for MPP/CPP</t>
  </si>
  <si>
    <t xml:space="preserve">J. Pool of Funds </t>
  </si>
  <si>
    <t>K. World Services</t>
  </si>
  <si>
    <t>2008</t>
  </si>
  <si>
    <t>Difference</t>
  </si>
  <si>
    <t>Total</t>
  </si>
  <si>
    <t>EASTERN PENNSYLVANIA MINISTRIES</t>
  </si>
  <si>
    <t>Budget</t>
  </si>
  <si>
    <t>%</t>
  </si>
  <si>
    <t>World Service</t>
  </si>
  <si>
    <t>BUDGET 2008</t>
  </si>
  <si>
    <t>Board of Ordained Ministry</t>
  </si>
  <si>
    <t>District Superintendent</t>
  </si>
  <si>
    <t>Board of Trustees</t>
  </si>
  <si>
    <t>Conference Secretary</t>
  </si>
  <si>
    <t>Conference Statistician</t>
  </si>
  <si>
    <t>Schedule: Office of Human Relations and Leadership Ministries</t>
  </si>
  <si>
    <t xml:space="preserve">  Credit Card fees</t>
  </si>
  <si>
    <t xml:space="preserve">  Interest/Loan repayment </t>
  </si>
  <si>
    <t xml:space="preserve">  I.  Interest Expense</t>
  </si>
  <si>
    <t xml:space="preserve">  8.Other office Expenses</t>
  </si>
  <si>
    <t xml:space="preserve">      9. United Methodist Witness in PA</t>
  </si>
  <si>
    <t xml:space="preserve">      5.  Christian Education/Worship/ Older Adult Ministry Consulting</t>
  </si>
  <si>
    <t>Salary</t>
  </si>
  <si>
    <t>Medical</t>
  </si>
  <si>
    <t>Pension</t>
  </si>
  <si>
    <t>FICA</t>
  </si>
  <si>
    <t>Accounting I</t>
  </si>
  <si>
    <t>Information Systems</t>
  </si>
  <si>
    <t>Treasurer/ Exe. Dir. Adm. Min.</t>
  </si>
  <si>
    <t>Dorothy Watson Tatem</t>
  </si>
  <si>
    <t>Hilda Campbell</t>
  </si>
  <si>
    <t>District Resource Assistant</t>
  </si>
  <si>
    <t>Christopher Kurien</t>
  </si>
  <si>
    <t xml:space="preserve"> Name</t>
  </si>
  <si>
    <t>Name</t>
  </si>
  <si>
    <t>Constituent ID</t>
  </si>
  <si>
    <t>John S. McDermott</t>
  </si>
  <si>
    <t>Washington Crossing</t>
  </si>
  <si>
    <t>07720</t>
  </si>
  <si>
    <t>James E. Brashear</t>
  </si>
  <si>
    <t>Wescosville: Bethany</t>
  </si>
  <si>
    <t>04620</t>
  </si>
  <si>
    <t>James R. Hallam</t>
  </si>
  <si>
    <t>Lima</t>
  </si>
  <si>
    <t>03350</t>
  </si>
  <si>
    <t>Michele W. Bartlow</t>
  </si>
  <si>
    <t>Phila.: Germantown, First</t>
  </si>
  <si>
    <t>07490</t>
  </si>
  <si>
    <t>Joseph F. DiPaolo</t>
  </si>
  <si>
    <t>Wayne</t>
  </si>
  <si>
    <t>03650</t>
  </si>
  <si>
    <t>Michael A. Murphy</t>
  </si>
  <si>
    <t>Doylestown</t>
  </si>
  <si>
    <t>07110</t>
  </si>
  <si>
    <t>Kent E. Kroehler</t>
  </si>
  <si>
    <t>Lancaster: First</t>
  </si>
  <si>
    <t>06320</t>
  </si>
  <si>
    <t>Steven C. Morton</t>
  </si>
  <si>
    <t>Hopewell</t>
  </si>
  <si>
    <t>03310</t>
  </si>
  <si>
    <t>Melinda L. McKonly</t>
  </si>
  <si>
    <t>Allentown: Asbury</t>
  </si>
  <si>
    <t>04020</t>
  </si>
  <si>
    <t>John T. Wright</t>
  </si>
  <si>
    <t>Grove</t>
  </si>
  <si>
    <t>03270</t>
  </si>
  <si>
    <t>James E. Carver</t>
  </si>
  <si>
    <t>North Wales: Sanctuary</t>
  </si>
  <si>
    <t>05290</t>
  </si>
  <si>
    <t>David M. Lewis</t>
  </si>
  <si>
    <t>New Hanover</t>
  </si>
  <si>
    <t>01470</t>
  </si>
  <si>
    <t>Greg W. Hill</t>
  </si>
  <si>
    <t>Hempfield</t>
  </si>
  <si>
    <t>06220</t>
  </si>
  <si>
    <t>West Lawn</t>
  </si>
  <si>
    <t>01680</t>
  </si>
  <si>
    <t>Eastern PA Conference Office</t>
  </si>
  <si>
    <t>09100</t>
  </si>
  <si>
    <t>Jeffrey A. Raffauf</t>
  </si>
  <si>
    <t>H. J. Tyson</t>
  </si>
  <si>
    <t>Coatesville: Olivet</t>
  </si>
  <si>
    <t>03150</t>
  </si>
  <si>
    <t>Ralph J. Stevenson</t>
  </si>
  <si>
    <t>Sharon L. Vandegrift</t>
  </si>
  <si>
    <t>Springfield: Covenant</t>
  </si>
  <si>
    <t>05770</t>
  </si>
  <si>
    <t>Thomas C. McGill</t>
  </si>
  <si>
    <t>Mount Hope</t>
  </si>
  <si>
    <t>03470</t>
  </si>
  <si>
    <t>Charles E. Weigel</t>
  </si>
  <si>
    <t>Downingtown</t>
  </si>
  <si>
    <t>03180</t>
  </si>
  <si>
    <t>Truman T. Brooks</t>
  </si>
  <si>
    <t>West Chester</t>
  </si>
  <si>
    <t>03660</t>
  </si>
  <si>
    <t>Alfred T. Day</t>
  </si>
  <si>
    <t>Phila.: St. George's</t>
  </si>
  <si>
    <t>05670</t>
  </si>
  <si>
    <t>Larry R. Mark</t>
  </si>
  <si>
    <t>Pen Argyl: Grace</t>
  </si>
  <si>
    <t>04450</t>
  </si>
  <si>
    <t>William M. Thompson</t>
  </si>
  <si>
    <t>Ivyland: St. John's</t>
  </si>
  <si>
    <t>07200</t>
  </si>
  <si>
    <t>Thornton: Bethlehem</t>
  </si>
  <si>
    <t>03600</t>
  </si>
  <si>
    <t>John B. Davis</t>
  </si>
  <si>
    <t>Elizabethtown: St. Paul's</t>
  </si>
  <si>
    <t>06150</t>
  </si>
  <si>
    <t>Terisa D. Clark</t>
  </si>
  <si>
    <t>Philip I. Ponce</t>
  </si>
  <si>
    <t>Berwyn</t>
  </si>
  <si>
    <t>03020</t>
  </si>
  <si>
    <t>Ronald A. Waite</t>
  </si>
  <si>
    <t>Lebanon: Church Good Shepherd</t>
  </si>
  <si>
    <t>01290</t>
  </si>
  <si>
    <t>Robert Wilt</t>
  </si>
  <si>
    <t>Valley Forge: St. Matthew's</t>
  </si>
  <si>
    <t>03630</t>
  </si>
  <si>
    <t>Michael I. Alleman</t>
  </si>
  <si>
    <t>Lancaster: Grandview</t>
  </si>
  <si>
    <t>06330</t>
  </si>
  <si>
    <t>Richard S. Sarley</t>
  </si>
  <si>
    <t>Warrington: St. Paul's</t>
  </si>
  <si>
    <t>07710</t>
  </si>
  <si>
    <t>Thomas C. Haugh</t>
  </si>
  <si>
    <t>Hatboro: Lehman Memorial</t>
  </si>
  <si>
    <t>07170</t>
  </si>
  <si>
    <t>Edward C. Kimes</t>
  </si>
  <si>
    <t>East Stroudsburg</t>
  </si>
  <si>
    <t>04260</t>
  </si>
  <si>
    <t>David T. Ryan</t>
  </si>
  <si>
    <t>Quakertown</t>
  </si>
  <si>
    <t>04500</t>
  </si>
  <si>
    <t>Jody B. Sambrick</t>
  </si>
  <si>
    <t>Living Waters Christian Fellowship</t>
  </si>
  <si>
    <t>06275</t>
  </si>
  <si>
    <t>Mt. Pocono</t>
  </si>
  <si>
    <t>04390</t>
  </si>
  <si>
    <t>Lee F. Adams</t>
  </si>
  <si>
    <t>Royersford</t>
  </si>
  <si>
    <t>03550</t>
  </si>
  <si>
    <t>J. W. Lentz</t>
  </si>
  <si>
    <t>Bethlehem: Wesley</t>
  </si>
  <si>
    <t>04170</t>
  </si>
  <si>
    <t>Douglas Smith</t>
  </si>
  <si>
    <t>Palmyra: Gravel Hill</t>
  </si>
  <si>
    <t>01510</t>
  </si>
  <si>
    <t>Gary L. Nicholson</t>
  </si>
  <si>
    <t>Bangor: First</t>
  </si>
  <si>
    <t>04090</t>
  </si>
  <si>
    <t>John Lutz</t>
  </si>
  <si>
    <t>Langhorne</t>
  </si>
  <si>
    <t>07240</t>
  </si>
  <si>
    <t>Robin M. Hynicka</t>
  </si>
  <si>
    <t>Phila.: Arch Street</t>
  </si>
  <si>
    <t>05310</t>
  </si>
  <si>
    <t>David E. Woolverton</t>
  </si>
  <si>
    <t>Mount Joy: St. Mark's</t>
  </si>
  <si>
    <t>06520</t>
  </si>
  <si>
    <t>Alan J. Smith</t>
  </si>
  <si>
    <t>Woxall: Tabor UMC</t>
  </si>
  <si>
    <t>04340</t>
  </si>
  <si>
    <t>Albert Mosley</t>
  </si>
  <si>
    <t>Phila.: Janes Memorial</t>
  </si>
  <si>
    <t>07500</t>
  </si>
  <si>
    <t>Timothy A. Kriebel</t>
  </si>
  <si>
    <t>Levittown: Emilie</t>
  </si>
  <si>
    <t>07250</t>
  </si>
  <si>
    <t>Robert H. Hoffman</t>
  </si>
  <si>
    <t>Cedarville</t>
  </si>
  <si>
    <t>01100</t>
  </si>
  <si>
    <t>Walter S. Carter</t>
  </si>
  <si>
    <t>Ephrata: First</t>
  </si>
  <si>
    <t>06160</t>
  </si>
  <si>
    <t>Charles C. Cole</t>
  </si>
  <si>
    <t>Paoli</t>
  </si>
  <si>
    <t>03500</t>
  </si>
  <si>
    <t>David R. Cramp</t>
  </si>
  <si>
    <t>Newtown</t>
  </si>
  <si>
    <t>07290</t>
  </si>
  <si>
    <t>Eric S. Ritz</t>
  </si>
  <si>
    <t>New Holland: Evangelical</t>
  </si>
  <si>
    <t>06580</t>
  </si>
  <si>
    <t>Gary D. Knerr</t>
  </si>
  <si>
    <t>Lansdale: Christ</t>
  </si>
  <si>
    <t>05220</t>
  </si>
  <si>
    <t>Blaik J. Westhoff</t>
  </si>
  <si>
    <t>Perkasie</t>
  </si>
  <si>
    <t>04460</t>
  </si>
  <si>
    <t>Larry D. Leister</t>
  </si>
  <si>
    <t>Lancaster: Covenant</t>
  </si>
  <si>
    <t>06300</t>
  </si>
  <si>
    <t>Wendy Bellis</t>
  </si>
  <si>
    <t>Warminster: St. Andrews</t>
  </si>
  <si>
    <t>07700</t>
  </si>
  <si>
    <t>Theodore E. McCabe</t>
  </si>
  <si>
    <t>The Bridge</t>
  </si>
  <si>
    <t>06715</t>
  </si>
  <si>
    <t>Kenneth E. Gelzhiser</t>
  </si>
  <si>
    <t>Broomall: St. Mark's</t>
  </si>
  <si>
    <t>03060</t>
  </si>
  <si>
    <t>Blaine R. Wenger</t>
  </si>
  <si>
    <t>Coventryville</t>
  </si>
  <si>
    <t>01140</t>
  </si>
  <si>
    <t>Christopher L. Fisher</t>
  </si>
  <si>
    <t>Schuylkill Haven: First</t>
  </si>
  <si>
    <t>02560</t>
  </si>
  <si>
    <t>Robert R. Shank</t>
  </si>
  <si>
    <t>Stroudsburg</t>
  </si>
  <si>
    <t>04560</t>
  </si>
  <si>
    <t>Jeffrey A. Snyder</t>
  </si>
  <si>
    <t>Columbia</t>
  </si>
  <si>
    <t>06120</t>
  </si>
  <si>
    <t>John H. Lynch</t>
  </si>
  <si>
    <t>Myerstown: Zion</t>
  </si>
  <si>
    <t>01450</t>
  </si>
  <si>
    <t>Harry L. Kaufhold</t>
  </si>
  <si>
    <t>Lititz</t>
  </si>
  <si>
    <t>06400</t>
  </si>
  <si>
    <t>Maxime R. Jaouen</t>
  </si>
  <si>
    <t>Lansdale: First</t>
  </si>
  <si>
    <t>05230</t>
  </si>
  <si>
    <t>Matthew L. Heckman</t>
  </si>
  <si>
    <t>New Berlinville: St. Andrew</t>
  </si>
  <si>
    <t>01460</t>
  </si>
  <si>
    <t>Herbert W. Coe</t>
  </si>
  <si>
    <t>Chester: St. Daniel's</t>
  </si>
  <si>
    <t>03110</t>
  </si>
  <si>
    <t>Robert C. Timlin</t>
  </si>
  <si>
    <t>Manheim: Ruhls</t>
  </si>
  <si>
    <t>06410</t>
  </si>
  <si>
    <t>David P. Harris</t>
  </si>
  <si>
    <t>Palmyra: First</t>
  </si>
  <si>
    <t>01500</t>
  </si>
  <si>
    <t>Amy C. Smith</t>
  </si>
  <si>
    <t>John Cordes</t>
  </si>
  <si>
    <t>Mountville: St. Paul's</t>
  </si>
  <si>
    <t>06540</t>
  </si>
  <si>
    <t>Jarrettown</t>
  </si>
  <si>
    <t>07210</t>
  </si>
  <si>
    <t>Larry A. Frank</t>
  </si>
  <si>
    <t>Hamburg: Bethany</t>
  </si>
  <si>
    <t>01220</t>
  </si>
  <si>
    <t>Kenneth H. O'Neal</t>
  </si>
  <si>
    <t>Mount Joy: Glossbrenner</t>
  </si>
  <si>
    <t>06510</t>
  </si>
  <si>
    <t>Bronwyn Yocum</t>
  </si>
  <si>
    <t>Phoenixville: First</t>
  </si>
  <si>
    <t>03530</t>
  </si>
  <si>
    <t>Barry A. Wolfe</t>
  </si>
  <si>
    <t>Millersville: Grace</t>
  </si>
  <si>
    <t>06470</t>
  </si>
  <si>
    <t>David C. Nissly</t>
  </si>
  <si>
    <t>Lampeter</t>
  </si>
  <si>
    <t>06270</t>
  </si>
  <si>
    <t>Richard W. Conner</t>
  </si>
  <si>
    <t>Manheim: Salem</t>
  </si>
  <si>
    <t>06420</t>
  </si>
  <si>
    <t>John Longmire</t>
  </si>
  <si>
    <t>Quarryville: Memorial</t>
  </si>
  <si>
    <t>06650</t>
  </si>
  <si>
    <t>Gerard M. McGrath</t>
  </si>
  <si>
    <t>Lincoln Park: Community</t>
  </si>
  <si>
    <t>01410</t>
  </si>
  <si>
    <t>Frank H. Sanders</t>
  </si>
  <si>
    <t>Morrisville</t>
  </si>
  <si>
    <t>07270</t>
  </si>
  <si>
    <t>James E. Heath</t>
  </si>
  <si>
    <t>Cornwall</t>
  </si>
  <si>
    <t>01130</t>
  </si>
  <si>
    <t>Robert L. Strauss</t>
  </si>
  <si>
    <t>Fairless Hills: Christ</t>
  </si>
  <si>
    <t>07130</t>
  </si>
  <si>
    <t>Gregory Holston</t>
  </si>
  <si>
    <t>Trevose: St. Matthew</t>
  </si>
  <si>
    <t>07690</t>
  </si>
  <si>
    <t>Donald R. Williams</t>
  </si>
  <si>
    <t>Ardmore</t>
  </si>
  <si>
    <t>05010</t>
  </si>
  <si>
    <t>Wendy T. Hudson-Jacoby</t>
  </si>
  <si>
    <t>West Grove</t>
  </si>
  <si>
    <t>03670</t>
  </si>
  <si>
    <t>John A. Laughlin</t>
  </si>
  <si>
    <t>Lebanon: Kochenderfer's</t>
  </si>
  <si>
    <t>01330</t>
  </si>
  <si>
    <t>Charles A. Green</t>
  </si>
  <si>
    <t>Chalfont</t>
  </si>
  <si>
    <t>07070</t>
  </si>
  <si>
    <t>Daniel Hall</t>
  </si>
  <si>
    <t>Ono</t>
  </si>
  <si>
    <t>01480</t>
  </si>
  <si>
    <t>Steward E. Warner</t>
  </si>
  <si>
    <t>Annville</t>
  </si>
  <si>
    <t>01010</t>
  </si>
  <si>
    <t>David P. Unangst</t>
  </si>
  <si>
    <t>Neffsville: Long Memorial</t>
  </si>
  <si>
    <t>06560</t>
  </si>
  <si>
    <t>Birdsboro: Focht Memorial</t>
  </si>
  <si>
    <t>01080</t>
  </si>
  <si>
    <t>West Willow</t>
  </si>
  <si>
    <t>06730</t>
  </si>
  <si>
    <t>Timothy S. Thomson-Hohl</t>
  </si>
  <si>
    <t>Lansdowne: Trinity Lansdowne</t>
  </si>
  <si>
    <t>05245</t>
  </si>
  <si>
    <t>John Gudikunst</t>
  </si>
  <si>
    <t>Leola</t>
  </si>
  <si>
    <t>06380</t>
  </si>
  <si>
    <t>Maridel A. Whitmore</t>
  </si>
  <si>
    <t>Media: First</t>
  </si>
  <si>
    <t>03440</t>
  </si>
  <si>
    <t>Richard E. Wilcock</t>
  </si>
  <si>
    <t>Conestoga</t>
  </si>
  <si>
    <t>06130</t>
  </si>
  <si>
    <t>James A. Goudie</t>
  </si>
  <si>
    <t>Colemanville</t>
  </si>
  <si>
    <t>06110</t>
  </si>
  <si>
    <t>W. S. Ostman</t>
  </si>
  <si>
    <t>Bethlehem: Epworth</t>
  </si>
  <si>
    <t>04140</t>
  </si>
  <si>
    <t>Dennis R. Snovel</t>
  </si>
  <si>
    <t>Hopeland</t>
  </si>
  <si>
    <t>06240</t>
  </si>
  <si>
    <t>George A. Tigh</t>
  </si>
  <si>
    <t>Bethel Hill</t>
  </si>
  <si>
    <t>05030</t>
  </si>
  <si>
    <t>Robert G. Coombe</t>
  </si>
  <si>
    <t>Yardley</t>
  </si>
  <si>
    <t>07740</t>
  </si>
  <si>
    <t>Stanley J. Krall</t>
  </si>
  <si>
    <t>Phila.: Fox Chase</t>
  </si>
  <si>
    <t>07400</t>
  </si>
  <si>
    <t>Melvin F. Bell</t>
  </si>
  <si>
    <t>Phila.: Simpson Memorial  (Kensington Area Ministry)</t>
  </si>
  <si>
    <t>05460</t>
  </si>
  <si>
    <t>John D. Inghram</t>
  </si>
  <si>
    <t>Bowmanstown: Faith Alive</t>
  </si>
  <si>
    <t>04190</t>
  </si>
  <si>
    <t>Samuel Ramnit</t>
  </si>
  <si>
    <t>Cherry Valley</t>
  </si>
  <si>
    <t>04240</t>
  </si>
  <si>
    <t>Donna L. Jones</t>
  </si>
  <si>
    <t>Phila.: Cookman</t>
  </si>
  <si>
    <t>05490</t>
  </si>
  <si>
    <t>Scott A. Widmer</t>
  </si>
  <si>
    <t>Marshallton</t>
  </si>
  <si>
    <t>03420</t>
  </si>
  <si>
    <t>Kerry E. Leeper</t>
  </si>
  <si>
    <t>R. M. Young</t>
  </si>
  <si>
    <t>Lebanon: Trinity</t>
  </si>
  <si>
    <t>01390</t>
  </si>
  <si>
    <t>Scottsville</t>
  </si>
  <si>
    <t>07670</t>
  </si>
  <si>
    <t>Richard J. Rimert</t>
  </si>
  <si>
    <t>Mohnton: Calvary</t>
  </si>
  <si>
    <t>01420</t>
  </si>
  <si>
    <t>John J. Keretzman</t>
  </si>
  <si>
    <t>Elverson</t>
  </si>
  <si>
    <t>01160</t>
  </si>
  <si>
    <t>Barbara L. Housley</t>
  </si>
  <si>
    <t>Mountainhome</t>
  </si>
  <si>
    <t>04400</t>
  </si>
  <si>
    <t>Brownstown: Emmanuel</t>
  </si>
  <si>
    <t>06070</t>
  </si>
  <si>
    <t>Lloyd F. Speer</t>
  </si>
  <si>
    <t>Jonestown</t>
  </si>
  <si>
    <t>01260</t>
  </si>
  <si>
    <t>William Chrin</t>
  </si>
  <si>
    <t>Lebanon: Hebron</t>
  </si>
  <si>
    <t>01320</t>
  </si>
  <si>
    <t>Russell J. Atkinson</t>
  </si>
  <si>
    <t>Swarthmore</t>
  </si>
  <si>
    <t>03580</t>
  </si>
  <si>
    <t>John T. Truitt</t>
  </si>
  <si>
    <t>Campbelltown</t>
  </si>
  <si>
    <t>01090</t>
  </si>
  <si>
    <t>Thomas A. Jackmon</t>
  </si>
  <si>
    <t>Phila.: Tindley Temple</t>
  </si>
  <si>
    <t>05690</t>
  </si>
  <si>
    <t>David McMillan</t>
  </si>
  <si>
    <t>Hibernia</t>
  </si>
  <si>
    <t>03290</t>
  </si>
  <si>
    <t>Gary L. Meekins</t>
  </si>
  <si>
    <t>Pocono Lake</t>
  </si>
  <si>
    <t>04470</t>
  </si>
  <si>
    <t>William J. Humes</t>
  </si>
  <si>
    <t>Pottstown: First</t>
  </si>
  <si>
    <t>01520</t>
  </si>
  <si>
    <t>Mary J. Kirby</t>
  </si>
  <si>
    <t>Havertown: Union</t>
  </si>
  <si>
    <t>05200</t>
  </si>
  <si>
    <t>Suzanne W. Duchesne</t>
  </si>
  <si>
    <t>W. T. Bach</t>
  </si>
  <si>
    <t>Fairless Hills: First</t>
  </si>
  <si>
    <t>07140</t>
  </si>
  <si>
    <t>Edward L. Bean</t>
  </si>
  <si>
    <t>Telford: Grace</t>
  </si>
  <si>
    <t>04600</t>
  </si>
  <si>
    <t>Janet S. Steger</t>
  </si>
  <si>
    <t>Mount Gretna</t>
  </si>
  <si>
    <t>01440</t>
  </si>
  <si>
    <t>Frank Schaefer</t>
  </si>
  <si>
    <t>Iona</t>
  </si>
  <si>
    <t>01250</t>
  </si>
  <si>
    <t>John T. Pfeil</t>
  </si>
  <si>
    <t>Reading: Holy Cross</t>
  </si>
  <si>
    <t>01590</t>
  </si>
  <si>
    <t>Benjamin T. Taylor</t>
  </si>
  <si>
    <t>Oxford</t>
  </si>
  <si>
    <t>03490</t>
  </si>
  <si>
    <t>Felicia Kumar</t>
  </si>
  <si>
    <t>Willow Grove</t>
  </si>
  <si>
    <t>07730</t>
  </si>
  <si>
    <t>Daniel E. Unrath</t>
  </si>
  <si>
    <t>Bala Cynwyd</t>
  </si>
  <si>
    <t>05020</t>
  </si>
  <si>
    <t>Catherine L. Bowers</t>
  </si>
  <si>
    <t>Phila.: Frankford Group Ministry</t>
  </si>
  <si>
    <t>07410</t>
  </si>
  <si>
    <t>Drena L. Miller</t>
  </si>
  <si>
    <t>Willistown</t>
  </si>
  <si>
    <t>03680</t>
  </si>
  <si>
    <t>Neil Gutmaker</t>
  </si>
  <si>
    <t>Norwood</t>
  </si>
  <si>
    <t>05300</t>
  </si>
  <si>
    <t>Christopher R. Schiavino</t>
  </si>
  <si>
    <t>Thomas C. Davis-Shappell</t>
  </si>
  <si>
    <t>Thorndale</t>
  </si>
  <si>
    <t>03590</t>
  </si>
  <si>
    <t>David Tatgenhorst</t>
  </si>
  <si>
    <t>Bryn Mawr: St. Luke</t>
  </si>
  <si>
    <t>05040</t>
  </si>
  <si>
    <t>Richard Rogers</t>
  </si>
  <si>
    <t>Lickdale: Trinity</t>
  </si>
  <si>
    <t>01400</t>
  </si>
  <si>
    <t>James L. Garner</t>
  </si>
  <si>
    <t>Ephrata: Hope</t>
  </si>
  <si>
    <t>06170</t>
  </si>
  <si>
    <t>Richard H. Andrews</t>
  </si>
  <si>
    <t>Phila.: Johnson Memorial</t>
  </si>
  <si>
    <t>07470</t>
  </si>
  <si>
    <t>Joan H. Trout</t>
  </si>
  <si>
    <t>Lionville: Church Resurrection</t>
  </si>
  <si>
    <t>03380</t>
  </si>
  <si>
    <t>Timothy Duchesne</t>
  </si>
  <si>
    <t>Strasburg: Wesley</t>
  </si>
  <si>
    <t>06700</t>
  </si>
  <si>
    <t>Arthur B. Schirmer</t>
  </si>
  <si>
    <t>Reeders</t>
  </si>
  <si>
    <t>04510</t>
  </si>
  <si>
    <t>Harmony</t>
  </si>
  <si>
    <t>01230</t>
  </si>
  <si>
    <t>Zabdiel Y. Khan</t>
  </si>
  <si>
    <t>Middletown: Christ</t>
  </si>
  <si>
    <t>03450</t>
  </si>
  <si>
    <t>Limeville</t>
  </si>
  <si>
    <t>06390</t>
  </si>
  <si>
    <t>Paul R. Crikelair</t>
  </si>
  <si>
    <t>Goodwill</t>
  </si>
  <si>
    <t>01210</t>
  </si>
  <si>
    <t>East Bangor</t>
  </si>
  <si>
    <t>04110</t>
  </si>
  <si>
    <t>Nancy H. Ross</t>
  </si>
  <si>
    <t>05050</t>
  </si>
  <si>
    <t>Daniel G. Herner</t>
  </si>
  <si>
    <t>Lebanon: Covenant</t>
  </si>
  <si>
    <t>01300</t>
  </si>
  <si>
    <t>Timothy J. Patterson</t>
  </si>
  <si>
    <t>Orwigsburg: Salem</t>
  </si>
  <si>
    <t>02360</t>
  </si>
  <si>
    <t>Glenn Brown</t>
  </si>
  <si>
    <t>Geigertown: St. Paul's</t>
  </si>
  <si>
    <t>01200</t>
  </si>
  <si>
    <t>Timothy J. Smith</t>
  </si>
  <si>
    <t>Millersville: First</t>
  </si>
  <si>
    <t>06460</t>
  </si>
  <si>
    <t>David M. Eckert</t>
  </si>
  <si>
    <t>Thomas Hall</t>
  </si>
  <si>
    <t>Crossroads, A UMC Congregation</t>
  </si>
  <si>
    <t>03165</t>
  </si>
  <si>
    <t>Robert L. Johnson</t>
  </si>
  <si>
    <t>Phila.: Simpson-Fletcher</t>
  </si>
  <si>
    <t>05620</t>
  </si>
  <si>
    <t>Mahanoy City: First</t>
  </si>
  <si>
    <t>02280</t>
  </si>
  <si>
    <t>Frederick Douglas</t>
  </si>
  <si>
    <t>Connectional Ministry Receipt /Other Income</t>
  </si>
  <si>
    <t>Phila.: Devereux Memorial</t>
  </si>
  <si>
    <t>05340</t>
  </si>
  <si>
    <t>Anita A. Powell</t>
  </si>
  <si>
    <t>Kennett: Church of the Open Door</t>
  </si>
  <si>
    <t>03315</t>
  </si>
  <si>
    <t>Daniel P. Roth</t>
  </si>
  <si>
    <t>Phila.: Summerfield/Siloam (Kensington Area Ministry)</t>
  </si>
  <si>
    <t>05475</t>
  </si>
  <si>
    <t>Allentown: Salem</t>
  </si>
  <si>
    <t>04050</t>
  </si>
  <si>
    <t>Edward C. Goodley</t>
  </si>
  <si>
    <t>Booth's Corner: Siloam</t>
  </si>
  <si>
    <t>03040</t>
  </si>
  <si>
    <t>Evelyn K. Clark</t>
  </si>
  <si>
    <t>Upper Darby: New Life</t>
  </si>
  <si>
    <t>05795</t>
  </si>
  <si>
    <t>Tracy L. Bass</t>
  </si>
  <si>
    <t>Norristown: Haws Avenue</t>
  </si>
  <si>
    <t>05280</t>
  </si>
  <si>
    <t>David G. Goss</t>
  </si>
  <si>
    <t>Easton: First</t>
  </si>
  <si>
    <t>04290</t>
  </si>
  <si>
    <t>Robert A. Bailey</t>
  </si>
  <si>
    <t>Lancaster: Otterbein</t>
  </si>
  <si>
    <t>06340</t>
  </si>
  <si>
    <t>John V. Bhajjan</t>
  </si>
  <si>
    <t>Havertown: Hope</t>
  </si>
  <si>
    <t>31425</t>
  </si>
  <si>
    <t>Dennis G. Keen</t>
  </si>
  <si>
    <t>Paul A. Gutknecht</t>
  </si>
  <si>
    <t>Drexel Hill</t>
  </si>
  <si>
    <t>05120</t>
  </si>
  <si>
    <t>Randall C. Leitzel</t>
  </si>
  <si>
    <t>Kevin E. Readman</t>
  </si>
  <si>
    <t>New Holland: Ranck's</t>
  </si>
  <si>
    <t>06590</t>
  </si>
  <si>
    <t>Thomas H. James</t>
  </si>
  <si>
    <t>Phila.: Mount Zion</t>
  </si>
  <si>
    <t>05510</t>
  </si>
  <si>
    <t>Bernard J. Kefer</t>
  </si>
  <si>
    <t>Lancaster: Community</t>
  </si>
  <si>
    <t>06290</t>
  </si>
  <si>
    <t>William S. Hutchinson</t>
  </si>
  <si>
    <t>Pottsville: First</t>
  </si>
  <si>
    <t>02460</t>
  </si>
  <si>
    <t>Phila.: Mother African Zoar</t>
  </si>
  <si>
    <t>05520</t>
  </si>
  <si>
    <t>Rodney E. Miller</t>
  </si>
  <si>
    <t>Tamaqua: First</t>
  </si>
  <si>
    <t>02680</t>
  </si>
  <si>
    <t>Thomas Brooks</t>
  </si>
  <si>
    <t>Phila.: FGM: Frankford Memorial</t>
  </si>
  <si>
    <t>07430</t>
  </si>
  <si>
    <t>Millard Fisher</t>
  </si>
  <si>
    <t>Indiantown Gap: Emmanuel</t>
  </si>
  <si>
    <t>01240</t>
  </si>
  <si>
    <t>Debra C. Stanton</t>
  </si>
  <si>
    <t>Sherry L. Lantz</t>
  </si>
  <si>
    <t>Sandra Knaub</t>
  </si>
  <si>
    <t>Rothsville: Salem</t>
  </si>
  <si>
    <t>06670</t>
  </si>
  <si>
    <t>Keith D. Price</t>
  </si>
  <si>
    <t>Bethesda</t>
  </si>
  <si>
    <t>06050</t>
  </si>
  <si>
    <t>Nancy L. Miller</t>
  </si>
  <si>
    <t>Lafayette Hill: Messiah</t>
  </si>
  <si>
    <t>05210</t>
  </si>
  <si>
    <t>Lawrence J. Whitehouse</t>
  </si>
  <si>
    <t>Elysburg</t>
  </si>
  <si>
    <t>02160</t>
  </si>
  <si>
    <t>Thomas S. Robinson</t>
  </si>
  <si>
    <t>Easton: Calvary</t>
  </si>
  <si>
    <t>04270</t>
  </si>
  <si>
    <t>Kenneth DeWalt</t>
  </si>
  <si>
    <t>Douglassville: Hope</t>
  </si>
  <si>
    <t>01150</t>
  </si>
  <si>
    <t>Laurie A. Rookard</t>
  </si>
  <si>
    <t>Phila.: Camphor Memorial</t>
  </si>
  <si>
    <t>05330</t>
  </si>
  <si>
    <t>Gary Jacabella</t>
  </si>
  <si>
    <t>Cleona: Immanuel</t>
  </si>
  <si>
    <t>01120</t>
  </si>
  <si>
    <t>Harry Benson</t>
  </si>
  <si>
    <t>Phila.: Eastwick</t>
  </si>
  <si>
    <t>05350</t>
  </si>
  <si>
    <t>Robert S. Booker</t>
  </si>
  <si>
    <t>Phila.: Wharton-Wesley</t>
  </si>
  <si>
    <t>05710</t>
  </si>
  <si>
    <t>Carolene S. Brubaker</t>
  </si>
  <si>
    <t>Christina Keller</t>
  </si>
  <si>
    <t>Moore Twp.: Covenant</t>
  </si>
  <si>
    <t>04380</t>
  </si>
  <si>
    <t>YongHo Chun</t>
  </si>
  <si>
    <t>Bethlehem: Korean</t>
  </si>
  <si>
    <t>04160</t>
  </si>
  <si>
    <t>James F. McIntire</t>
  </si>
  <si>
    <t>Prospect Park: Prospect</t>
  </si>
  <si>
    <t>05730</t>
  </si>
  <si>
    <t>Lorelei K. Toombs</t>
  </si>
  <si>
    <t>Conyngham</t>
  </si>
  <si>
    <t>02120</t>
  </si>
  <si>
    <t>John Lewis</t>
  </si>
  <si>
    <t>Phila.: Haven Peniel</t>
  </si>
  <si>
    <t>05375</t>
  </si>
  <si>
    <t>Mark Terry</t>
  </si>
  <si>
    <t>Bethel</t>
  </si>
  <si>
    <t>03030</t>
  </si>
  <si>
    <t>Susan D. Sliker</t>
  </si>
  <si>
    <t>New Holland: New Holland</t>
  </si>
  <si>
    <t>06570</t>
  </si>
  <si>
    <t>Kenneth A. Klingborg</t>
  </si>
  <si>
    <t>Chapman Quarries</t>
  </si>
  <si>
    <t>04220</t>
  </si>
  <si>
    <t>Charles A. Deutsch</t>
  </si>
  <si>
    <t>Ironville</t>
  </si>
  <si>
    <t>06260</t>
  </si>
  <si>
    <t>Norristown: Asbury</t>
  </si>
  <si>
    <t>05270</t>
  </si>
  <si>
    <t>Louis D. Hornberger</t>
  </si>
  <si>
    <t>Berne: Salem-Berne</t>
  </si>
  <si>
    <t>01060</t>
  </si>
  <si>
    <t>Anthony A. Arrington</t>
  </si>
  <si>
    <t>Phila.: Trinity (Baynton)</t>
  </si>
  <si>
    <t>07610</t>
  </si>
  <si>
    <t>Randy M. Brubaker</t>
  </si>
  <si>
    <t>Phila.: Crescentville</t>
  </si>
  <si>
    <t>07390</t>
  </si>
  <si>
    <t>Janice A. Puliti</t>
  </si>
  <si>
    <t>Allen G. Jenkins</t>
  </si>
  <si>
    <t>Phila.: St. Barnabas-Bethsaida</t>
  </si>
  <si>
    <t>05660</t>
  </si>
  <si>
    <t>Timothy R. Reichard</t>
  </si>
  <si>
    <t>Shamokin: First</t>
  </si>
  <si>
    <t>02590</t>
  </si>
  <si>
    <t>Cheltenham</t>
  </si>
  <si>
    <t>07080</t>
  </si>
  <si>
    <t>Angel M. Lopez</t>
  </si>
  <si>
    <t>Allentown: La Trinidad</t>
  </si>
  <si>
    <t>04040</t>
  </si>
  <si>
    <t>David Felker</t>
  </si>
  <si>
    <t>Effort</t>
  </si>
  <si>
    <t>04300</t>
  </si>
  <si>
    <t>Lorelei M. Bach</t>
  </si>
  <si>
    <t>Hulmeville: Neshamony</t>
  </si>
  <si>
    <t>07180</t>
  </si>
  <si>
    <t>Alice A. Bonham</t>
  </si>
  <si>
    <t>Ridley Park</t>
  </si>
  <si>
    <t>05750</t>
  </si>
  <si>
    <t>Mount Nebo</t>
  </si>
  <si>
    <t>06530</t>
  </si>
  <si>
    <t>Frackville: First</t>
  </si>
  <si>
    <t>02170</t>
  </si>
  <si>
    <t>Esdras Seda</t>
  </si>
  <si>
    <t>Phila.: Iglesia Metodista Unida Espiritu Santo</t>
  </si>
  <si>
    <t>2005-32573</t>
  </si>
  <si>
    <t>Kerry W. Bart</t>
  </si>
  <si>
    <t>Spring City</t>
  </si>
  <si>
    <t>03570</t>
  </si>
  <si>
    <t>Daniel Siddle</t>
  </si>
  <si>
    <t>Clark's Grove</t>
  </si>
  <si>
    <t>02110</t>
  </si>
  <si>
    <t>David R. Carey</t>
  </si>
  <si>
    <t>Phila.: Church of The Redeemer</t>
  </si>
  <si>
    <t>07370</t>
  </si>
  <si>
    <t>J. T. Fisher</t>
  </si>
  <si>
    <t>Avon: Zion</t>
  </si>
  <si>
    <t>01030</t>
  </si>
  <si>
    <t>Kenneth P. Bell</t>
  </si>
  <si>
    <t>Fredericksburg</t>
  </si>
  <si>
    <t>01190</t>
  </si>
  <si>
    <t>Robert A. Pope</t>
  </si>
  <si>
    <t>Stehman Memorial</t>
  </si>
  <si>
    <t>06690</t>
  </si>
  <si>
    <t>Roseann M. Goldberg</t>
  </si>
  <si>
    <t>Lancaster: Ross Street</t>
  </si>
  <si>
    <t>06360</t>
  </si>
  <si>
    <t>Debra Hebden</t>
  </si>
  <si>
    <t>Heidi Silliman</t>
  </si>
  <si>
    <t>Cochranville</t>
  </si>
  <si>
    <t>03160</t>
  </si>
  <si>
    <t>Bird-in-Hand</t>
  </si>
  <si>
    <t>06060</t>
  </si>
  <si>
    <t>Charles E. Marshall</t>
  </si>
  <si>
    <t>Bainbridge: Ludwig</t>
  </si>
  <si>
    <t>06040</t>
  </si>
  <si>
    <t>Robert B. Shrom</t>
  </si>
  <si>
    <t>Springtown: Salem</t>
  </si>
  <si>
    <t>04330</t>
  </si>
  <si>
    <t>Joseph L. Wenrich</t>
  </si>
  <si>
    <t>Friendship</t>
  </si>
  <si>
    <t>03240</t>
  </si>
  <si>
    <t>Sukja Bang</t>
  </si>
  <si>
    <t>Ambler: Calvary</t>
  </si>
  <si>
    <t>07020</t>
  </si>
  <si>
    <t>David W. Brown</t>
  </si>
  <si>
    <t>Phila.: Somerton</t>
  </si>
  <si>
    <t>07580</t>
  </si>
  <si>
    <t>Lester M. Groves</t>
  </si>
  <si>
    <t>01670</t>
  </si>
  <si>
    <t>David J. Davis</t>
  </si>
  <si>
    <t>Linwood Heights</t>
  </si>
  <si>
    <t>03360</t>
  </si>
  <si>
    <t>Michael S. Netznik</t>
  </si>
  <si>
    <t>Nesquehoning: Meed's Memorial</t>
  </si>
  <si>
    <t>02330</t>
  </si>
  <si>
    <t>Lancaster: El Redentor</t>
  </si>
  <si>
    <t>06310</t>
  </si>
  <si>
    <t>James D. Anderman</t>
  </si>
  <si>
    <t>Ryan I. Khan</t>
  </si>
  <si>
    <t>Brunnerville</t>
  </si>
  <si>
    <t>06080</t>
  </si>
  <si>
    <t>Gene K. Boyer</t>
  </si>
  <si>
    <t>Allentown: Emmanuel</t>
  </si>
  <si>
    <t>04030</t>
  </si>
  <si>
    <t>Joseph Puckhaber</t>
  </si>
  <si>
    <t>Paradise: St. John's</t>
  </si>
  <si>
    <t>06620</t>
  </si>
  <si>
    <t>Nevin R. Andes</t>
  </si>
  <si>
    <t>Terre Hill: St. Paul's</t>
  </si>
  <si>
    <t>06710</t>
  </si>
  <si>
    <t>Kathryn J. Painter</t>
  </si>
  <si>
    <t>Trevorton</t>
  </si>
  <si>
    <t>02720</t>
  </si>
  <si>
    <t>David Fulmer</t>
  </si>
  <si>
    <t>Narvon: Mt. Zion</t>
  </si>
  <si>
    <t>06550</t>
  </si>
  <si>
    <t>Tomas A. Iraheta</t>
  </si>
  <si>
    <t>Lancaster: Pearl Street</t>
  </si>
  <si>
    <t>06350</t>
  </si>
  <si>
    <t>Catasauqua: Grace</t>
  </si>
  <si>
    <t>04210</t>
  </si>
  <si>
    <t>Stephen L. Wallace</t>
  </si>
  <si>
    <t>Phila.: Sayers Memorial</t>
  </si>
  <si>
    <t>05610</t>
  </si>
  <si>
    <t>Bruce Lefever</t>
  </si>
  <si>
    <t>Manheim Township: Faith</t>
  </si>
  <si>
    <t>06430</t>
  </si>
  <si>
    <t>Mandy S. Miller</t>
  </si>
  <si>
    <t>Reading: St. Matthews</t>
  </si>
  <si>
    <t>01600</t>
  </si>
  <si>
    <t>Timothy C. Anderman</t>
  </si>
  <si>
    <t>Mont Clare: Otterbein</t>
  </si>
  <si>
    <t>03460</t>
  </si>
  <si>
    <t>Thomas Daniel</t>
  </si>
  <si>
    <t>Tobyhanna</t>
  </si>
  <si>
    <t>04610</t>
  </si>
  <si>
    <t>Richard Hostetter</t>
  </si>
  <si>
    <t>Rocherty</t>
  </si>
  <si>
    <t>01620</t>
  </si>
  <si>
    <t>Alicia Julia-Stanley</t>
  </si>
  <si>
    <t>Vicki Pry</t>
  </si>
  <si>
    <t>Carole A. Wood</t>
  </si>
  <si>
    <t>Stroudsburg: Faith</t>
  </si>
  <si>
    <t>04570</t>
  </si>
  <si>
    <t>Cookie F. Bracey</t>
  </si>
  <si>
    <t>Phila.: Mount Carmel</t>
  </si>
  <si>
    <t>07560</t>
  </si>
  <si>
    <t>Susan C. Czarnecki</t>
  </si>
  <si>
    <t>Phila.: Church Good Shepherd</t>
  </si>
  <si>
    <t>07360</t>
  </si>
  <si>
    <t>Willow Street: Boehm's</t>
  </si>
  <si>
    <t>06740</t>
  </si>
  <si>
    <t>Kurt W. Schenk</t>
  </si>
  <si>
    <t>Fremont: Union</t>
  </si>
  <si>
    <t>03230</t>
  </si>
  <si>
    <t>Dawn Taylor-Storm</t>
  </si>
  <si>
    <t>White Haven</t>
  </si>
  <si>
    <t>02780</t>
  </si>
  <si>
    <t>Robin G. Fisher</t>
  </si>
  <si>
    <t>Lebanon: Bethany</t>
  </si>
  <si>
    <t>01280</t>
  </si>
  <si>
    <t>Elena Ortiz</t>
  </si>
  <si>
    <t>Lebanon: Iglesia Metodista Unida Nuevo Nacimiento</t>
  </si>
  <si>
    <t>01345</t>
  </si>
  <si>
    <t>Chul Park</t>
  </si>
  <si>
    <t>Prospectville: First Korean</t>
  </si>
  <si>
    <t>07540</t>
  </si>
  <si>
    <t>Bum Koo Chung</t>
  </si>
  <si>
    <t>Cherry Lane</t>
  </si>
  <si>
    <t>04080</t>
  </si>
  <si>
    <t>Brian G. Albert</t>
  </si>
  <si>
    <t>Lebanon: Ebenezer</t>
  </si>
  <si>
    <t>01310</t>
  </si>
  <si>
    <t>James A. McNair</t>
  </si>
  <si>
    <t>Mount Carmel: First</t>
  </si>
  <si>
    <t>02320</t>
  </si>
  <si>
    <t>John G. Smith</t>
  </si>
  <si>
    <t>Lancaster: St. Paul's</t>
  </si>
  <si>
    <t>06370</t>
  </si>
  <si>
    <t>Herbert N. Gibbons</t>
  </si>
  <si>
    <t>Phila.: Emmanuel</t>
  </si>
  <si>
    <t>05360</t>
  </si>
  <si>
    <t>Richmond</t>
  </si>
  <si>
    <t>04520</t>
  </si>
  <si>
    <t>Michael Roberts</t>
  </si>
  <si>
    <t>Phila.: Tioga</t>
  </si>
  <si>
    <t>05680</t>
  </si>
  <si>
    <t>Fire &amp; Liability Ins</t>
  </si>
  <si>
    <t xml:space="preserve">General Expense </t>
  </si>
  <si>
    <t>Audio/Video</t>
  </si>
  <si>
    <t>Staging</t>
  </si>
  <si>
    <t>Archieve Reporting</t>
  </si>
  <si>
    <t xml:space="preserve">Contingency/Other Expenses </t>
  </si>
  <si>
    <t xml:space="preserve">Pool of Funds </t>
  </si>
  <si>
    <t>Connectional Ministries Fund</t>
  </si>
  <si>
    <t>2009 YTD</t>
  </si>
  <si>
    <t>Feb YTD</t>
  </si>
  <si>
    <t>Annual Totals</t>
  </si>
  <si>
    <t>Year to Date Totals</t>
  </si>
  <si>
    <t>Office of Outreach - Latino Plan</t>
  </si>
  <si>
    <t>Scholarships- Lay/Clergy</t>
  </si>
  <si>
    <t>Housing - Cabinet</t>
  </si>
  <si>
    <t>Advertising</t>
  </si>
  <si>
    <t xml:space="preserve">Facility Charges </t>
  </si>
  <si>
    <t>Fleetwood: Emmanuel</t>
  </si>
  <si>
    <t>01180</t>
  </si>
  <si>
    <t>Narberth</t>
  </si>
  <si>
    <t>05260</t>
  </si>
  <si>
    <t>Roy Lewis</t>
  </si>
  <si>
    <t>Lahaska</t>
  </si>
  <si>
    <t>07230</t>
  </si>
  <si>
    <t>Dorris McCoy</t>
  </si>
  <si>
    <t>Akron: Mt. Zion</t>
  </si>
  <si>
    <t>06010</t>
  </si>
  <si>
    <t>David Alderson</t>
  </si>
  <si>
    <t>Bellegrove</t>
  </si>
  <si>
    <t>01040</t>
  </si>
  <si>
    <t>Edward A. Unangst</t>
  </si>
  <si>
    <t>McMichaels</t>
  </si>
  <si>
    <t>04360</t>
  </si>
  <si>
    <t>Richard A. Clark</t>
  </si>
  <si>
    <t>Palmyra: Bethany</t>
  </si>
  <si>
    <t>01490</t>
  </si>
  <si>
    <t>R. B. Deibler</t>
  </si>
  <si>
    <t>Quarryville: Wesley</t>
  </si>
  <si>
    <t>06660</t>
  </si>
  <si>
    <t>Daniel A. Hepner</t>
  </si>
  <si>
    <t>Glen Moore</t>
  </si>
  <si>
    <t>03250</t>
  </si>
  <si>
    <t>Evodia Villalva</t>
  </si>
  <si>
    <t>West Chester: El Buen Samaritano</t>
  </si>
  <si>
    <t>03665</t>
  </si>
  <si>
    <t>Reginald A. Monte</t>
  </si>
  <si>
    <t>Phila.: Mid-Town Parish</t>
  </si>
  <si>
    <t>05500</t>
  </si>
  <si>
    <t>Beverly T. Andrews</t>
  </si>
  <si>
    <t>Phila.: Wissinoming</t>
  </si>
  <si>
    <t>07640</t>
  </si>
  <si>
    <t>Carolyn Segich</t>
  </si>
  <si>
    <t>Coaldale</t>
  </si>
  <si>
    <t>02750</t>
  </si>
  <si>
    <t>David A. Knotts</t>
  </si>
  <si>
    <t>Reading: Wesley</t>
  </si>
  <si>
    <t>01610</t>
  </si>
  <si>
    <t>Amy Banka</t>
  </si>
  <si>
    <t>Fallsington</t>
  </si>
  <si>
    <t>07150</t>
  </si>
  <si>
    <t>Jo Ann Enders</t>
  </si>
  <si>
    <t>Washington Boro</t>
  </si>
  <si>
    <t>06720</t>
  </si>
  <si>
    <t>Joseph Grasser</t>
  </si>
  <si>
    <t>Easton: Christ</t>
  </si>
  <si>
    <t>04280</t>
  </si>
  <si>
    <t>Janet K. Hess</t>
  </si>
  <si>
    <t>Springfield: C.C. Hancock</t>
  </si>
  <si>
    <t>05760</t>
  </si>
  <si>
    <t>Donna Schofield-Dolle</t>
  </si>
  <si>
    <t>St. Peter's: Mount Carmel</t>
  </si>
  <si>
    <t>01660</t>
  </si>
  <si>
    <t>Burgess L. Gordon</t>
  </si>
  <si>
    <t>Blakeslee</t>
  </si>
  <si>
    <t>04180</t>
  </si>
  <si>
    <t>Eldrich C. Campbell</t>
  </si>
  <si>
    <t>Churchtown</t>
  </si>
  <si>
    <t>01110</t>
  </si>
  <si>
    <t>Analomink</t>
  </si>
  <si>
    <t>04070</t>
  </si>
  <si>
    <t>Miscellaneous Income</t>
  </si>
  <si>
    <t xml:space="preserve">Travel and Related </t>
  </si>
  <si>
    <t xml:space="preserve">Copier Lease </t>
  </si>
  <si>
    <t>Reading: Emanuel-Olivet</t>
  </si>
  <si>
    <t>01560</t>
  </si>
  <si>
    <t>Lawrence E. Richard</t>
  </si>
  <si>
    <t>Shoemakersville: Salem</t>
  </si>
  <si>
    <t>01650</t>
  </si>
  <si>
    <t>KeyOne K. Yu</t>
  </si>
  <si>
    <t>Saylorsburg: St. Peter's</t>
  </si>
  <si>
    <t>04530</t>
  </si>
  <si>
    <t>Mary Elum</t>
  </si>
  <si>
    <t>Phila.: FGM: St. Thomas</t>
  </si>
  <si>
    <t>07450</t>
  </si>
  <si>
    <t>Keith Bashore</t>
  </si>
  <si>
    <t>Emerald: St. Peter's</t>
  </si>
  <si>
    <t>04550</t>
  </si>
  <si>
    <t>Todd Glasmire</t>
  </si>
  <si>
    <t>Neola</t>
  </si>
  <si>
    <t>04370</t>
  </si>
  <si>
    <t>Gwinyai Muzorewa</t>
  </si>
  <si>
    <t>New London</t>
  </si>
  <si>
    <t>03480</t>
  </si>
  <si>
    <t>Reading: Central Park</t>
  </si>
  <si>
    <t>01540</t>
  </si>
  <si>
    <t>Elaine M. Bortman</t>
  </si>
  <si>
    <t>Radnor</t>
  </si>
  <si>
    <t>05740</t>
  </si>
  <si>
    <t>Mark Beideman</t>
  </si>
  <si>
    <t>Parkesburg</t>
  </si>
  <si>
    <t>03510</t>
  </si>
  <si>
    <t>Robert A. Stippich</t>
  </si>
  <si>
    <t>Schoeneck: Wiest Memorial</t>
  </si>
  <si>
    <t>01640</t>
  </si>
  <si>
    <t>Jesse A. Coale</t>
  </si>
  <si>
    <t>Broomall: Christ</t>
  </si>
  <si>
    <t>03050</t>
  </si>
  <si>
    <t>David J. Frame</t>
  </si>
  <si>
    <t>Evansburg</t>
  </si>
  <si>
    <t>03215</t>
  </si>
  <si>
    <t>Kenneth Hall</t>
  </si>
  <si>
    <t>Avondale</t>
  </si>
  <si>
    <t>03010</t>
  </si>
  <si>
    <t>George C. Sackett</t>
  </si>
  <si>
    <t>Misc Expenses Addr Comm/World I Conference Missionary</t>
  </si>
  <si>
    <t xml:space="preserve">               01-41210-04-4030</t>
  </si>
  <si>
    <t xml:space="preserve">               01-50105-04-4030</t>
  </si>
  <si>
    <t xml:space="preserve">               01-51000-04-4030</t>
  </si>
  <si>
    <t xml:space="preserve">               01-51200-04-4030</t>
  </si>
  <si>
    <t xml:space="preserve">               01-51300-04-4030</t>
  </si>
  <si>
    <t xml:space="preserve">               01-51400-04-4030</t>
  </si>
  <si>
    <t xml:space="preserve">               01-53200-04-4030</t>
  </si>
  <si>
    <t>Darby: Mt. Zion</t>
  </si>
  <si>
    <t>05090</t>
  </si>
  <si>
    <t>Raymond Mitchell</t>
  </si>
  <si>
    <t>Phila.: Berry-Long Memorial</t>
  </si>
  <si>
    <t>05320</t>
  </si>
  <si>
    <t>Eric D. Ressler</t>
  </si>
  <si>
    <t>Nantmeal</t>
  </si>
  <si>
    <t>03390</t>
  </si>
  <si>
    <t>Jackie A. Stewart</t>
  </si>
  <si>
    <t>Phila.: Bickley's New Beginning</t>
  </si>
  <si>
    <t>07535</t>
  </si>
  <si>
    <t>Marjorie A. Harris</t>
  </si>
  <si>
    <t>Green Hill</t>
  </si>
  <si>
    <t>06210</t>
  </si>
  <si>
    <t>Quentin Wallace</t>
  </si>
  <si>
    <t>Reading: New Beginnings</t>
  </si>
  <si>
    <t>01595</t>
  </si>
  <si>
    <t>Misty L. Fuller</t>
  </si>
  <si>
    <t>Phila.: Clearview</t>
  </si>
  <si>
    <t>05100</t>
  </si>
  <si>
    <t>George R. Alt</t>
  </si>
  <si>
    <t>Canadensis</t>
  </si>
  <si>
    <t>04200</t>
  </si>
  <si>
    <t>Robert L. Nissly</t>
  </si>
  <si>
    <t>Kleinfeltersville: Trinity</t>
  </si>
  <si>
    <t>01270</t>
  </si>
  <si>
    <t>Samuel D. Fry</t>
  </si>
  <si>
    <t>Lebanon: St. John's</t>
  </si>
  <si>
    <t>01370</t>
  </si>
  <si>
    <t>Schaefferstown: Zion</t>
  </si>
  <si>
    <t>01630</t>
  </si>
  <si>
    <t>David Krause</t>
  </si>
  <si>
    <t>Cornwells Heights</t>
  </si>
  <si>
    <t>07090</t>
  </si>
  <si>
    <t>Phila.: Kensington "Old Brick" (Kensington Area Ministry)</t>
  </si>
  <si>
    <t>05420</t>
  </si>
  <si>
    <t>Jimmy Montgomery</t>
  </si>
  <si>
    <t>Hamorton</t>
  </si>
  <si>
    <t>03280</t>
  </si>
  <si>
    <t>Brian Reading</t>
  </si>
  <si>
    <t>Lewistown: Calvary Evangelical</t>
  </si>
  <si>
    <t>02270</t>
  </si>
  <si>
    <t>Harold E. Taussig</t>
  </si>
  <si>
    <t>Phila.: Chestnut Hill</t>
  </si>
  <si>
    <t>07350</t>
  </si>
  <si>
    <t>Annville: Kauffman's</t>
  </si>
  <si>
    <t>01020</t>
  </si>
  <si>
    <t>John Wallace</t>
  </si>
  <si>
    <t>Gordon: Simpson</t>
  </si>
  <si>
    <t>02200</t>
  </si>
  <si>
    <t>Barry: Salem</t>
  </si>
  <si>
    <t>02210</t>
  </si>
  <si>
    <t>Allan T. Sumerfield</t>
  </si>
  <si>
    <t>Christiana</t>
  </si>
  <si>
    <t>06090</t>
  </si>
  <si>
    <t>Barbara J. Welsh</t>
  </si>
  <si>
    <t>Ash Grove</t>
  </si>
  <si>
    <t>02020</t>
  </si>
  <si>
    <t>Edward E. Barlow</t>
  </si>
  <si>
    <t>06600</t>
  </si>
  <si>
    <t>Frank Wojciechowski</t>
  </si>
  <si>
    <t>Irish Valley</t>
  </si>
  <si>
    <t>02030</t>
  </si>
  <si>
    <t>Robert Hachtman</t>
  </si>
  <si>
    <t>Susan A. Wollyung</t>
  </si>
  <si>
    <t>Schuylkill Haven: Covenant</t>
  </si>
  <si>
    <t>02550</t>
  </si>
  <si>
    <t>Alvin A. Reese</t>
  </si>
  <si>
    <t>Landingville: Welcome</t>
  </si>
  <si>
    <t>02250</t>
  </si>
  <si>
    <t>George E. Miller</t>
  </si>
  <si>
    <t>Safe Harbor</t>
  </si>
  <si>
    <t>06680</t>
  </si>
  <si>
    <t>Jeannine Brenner</t>
  </si>
  <si>
    <t>Milton Grove</t>
  </si>
  <si>
    <t>06480</t>
  </si>
  <si>
    <t>W. M. Whayland</t>
  </si>
  <si>
    <t>Lorraine Heckman</t>
  </si>
  <si>
    <t>Port Carbon: First</t>
  </si>
  <si>
    <t>02420</t>
  </si>
  <si>
    <t>Amy Boock</t>
  </si>
  <si>
    <t>Weatherly: Centenary</t>
  </si>
  <si>
    <t>02790</t>
  </si>
  <si>
    <t>Eric H. Woodworth</t>
  </si>
  <si>
    <t>Charlestown</t>
  </si>
  <si>
    <t>03070</t>
  </si>
  <si>
    <t>Myron Steele</t>
  </si>
  <si>
    <t>Lattimer</t>
  </si>
  <si>
    <t>02260</t>
  </si>
  <si>
    <t>Gary W. Lefever</t>
  </si>
  <si>
    <t>Intercourse</t>
  </si>
  <si>
    <t>06250</t>
  </si>
  <si>
    <t>Narie L. Grayson</t>
  </si>
  <si>
    <t>Phila.: Advocate-St. Stephen's</t>
  </si>
  <si>
    <t>07310</t>
  </si>
  <si>
    <t>Joy Bagwell</t>
  </si>
  <si>
    <t>Phila.: Univer. City, Calvary</t>
  </si>
  <si>
    <t>05700</t>
  </si>
  <si>
    <t>Gladwyne</t>
  </si>
  <si>
    <t>05150</t>
  </si>
  <si>
    <t>Richard Nazario</t>
  </si>
  <si>
    <t>West Grove: Cristo Rey</t>
  </si>
  <si>
    <t>03330</t>
  </si>
  <si>
    <t>Herbert Phillips</t>
  </si>
  <si>
    <t>Trevose</t>
  </si>
  <si>
    <t>07680</t>
  </si>
  <si>
    <t>Robert G. White</t>
  </si>
  <si>
    <t>Lancaster: Christ</t>
  </si>
  <si>
    <t>06280</t>
  </si>
  <si>
    <t>Cheryl Zegers</t>
  </si>
  <si>
    <t>Peach Bottom: Mt. Zion</t>
  </si>
  <si>
    <t>06630</t>
  </si>
  <si>
    <t>Leonard W. Calhoun</t>
  </si>
  <si>
    <t>Karyn G. Fisher</t>
  </si>
  <si>
    <t>Samuel Derick K. Ashley</t>
  </si>
  <si>
    <t>Portland</t>
  </si>
  <si>
    <t>04490</t>
  </si>
  <si>
    <t>Robb E. Faller</t>
  </si>
  <si>
    <t>Norristown: Open Arms</t>
  </si>
  <si>
    <t>07275</t>
  </si>
  <si>
    <t>Pleasant Grove</t>
  </si>
  <si>
    <t>06640</t>
  </si>
  <si>
    <t>Rose M. Marquardt</t>
  </si>
  <si>
    <t>Aristes: Zion</t>
  </si>
  <si>
    <t>02010</t>
  </si>
  <si>
    <t>Betty A. Ford</t>
  </si>
  <si>
    <t>Shamokin: Zion</t>
  </si>
  <si>
    <t>02640</t>
  </si>
  <si>
    <t>Ira Lydic</t>
  </si>
  <si>
    <t>Pine Grove: St. Paul</t>
  </si>
  <si>
    <t>02400</t>
  </si>
  <si>
    <t>Albert Schell</t>
  </si>
  <si>
    <t>Shamokin: Emmanuel</t>
  </si>
  <si>
    <t>02620</t>
  </si>
  <si>
    <t>Margaret Kropp</t>
  </si>
  <si>
    <t>Port Carbon: Grace</t>
  </si>
  <si>
    <t>02430</t>
  </si>
  <si>
    <t>Malvern</t>
  </si>
  <si>
    <t>03400</t>
  </si>
  <si>
    <t>Deborah L. Gildart-Hanks</t>
  </si>
  <si>
    <t>Gradyville</t>
  </si>
  <si>
    <t>03260</t>
  </si>
  <si>
    <t>Margaret A. Reed</t>
  </si>
  <si>
    <t>02440</t>
  </si>
  <si>
    <t>Beth Trone</t>
  </si>
  <si>
    <t>Minersville</t>
  </si>
  <si>
    <t>02290</t>
  </si>
  <si>
    <t>Garry Snyder</t>
  </si>
  <si>
    <t>Reynolds: Zion's</t>
  </si>
  <si>
    <t>02530</t>
  </si>
  <si>
    <t>John R. Miller</t>
  </si>
  <si>
    <t>Highville</t>
  </si>
  <si>
    <t>06230</t>
  </si>
  <si>
    <t>John Q. Taylor</t>
  </si>
  <si>
    <t>Lebanon: Mountville</t>
  </si>
  <si>
    <t>01360</t>
  </si>
  <si>
    <t>Water Works</t>
  </si>
  <si>
    <t>01050</t>
  </si>
  <si>
    <t>Freeland: Park</t>
  </si>
  <si>
    <t>02180</t>
  </si>
  <si>
    <t>David G. Heberling</t>
  </si>
  <si>
    <t>Audenried-Jeanesville</t>
  </si>
  <si>
    <t>31424</t>
  </si>
  <si>
    <t>Nuremberg: Bethany</t>
  </si>
  <si>
    <t>02350</t>
  </si>
  <si>
    <t>Donald Boyd</t>
  </si>
  <si>
    <t>Joliett-First</t>
  </si>
  <si>
    <t>02700</t>
  </si>
  <si>
    <t>Tremont: St. John's</t>
  </si>
  <si>
    <t>02710</t>
  </si>
  <si>
    <t>John Kropp</t>
  </si>
  <si>
    <t>St. Clair-Wade</t>
  </si>
  <si>
    <t>02480</t>
  </si>
  <si>
    <t>Joanne Young</t>
  </si>
  <si>
    <t>Kulpmont</t>
  </si>
  <si>
    <t>02240</t>
  </si>
  <si>
    <t>Beverly Petrovich</t>
  </si>
  <si>
    <t>Johnston City:  Ranshaw</t>
  </si>
  <si>
    <t>02580</t>
  </si>
  <si>
    <t>Bruce Nobel</t>
  </si>
  <si>
    <t>Barnesville: Bethany</t>
  </si>
  <si>
    <t>02080</t>
  </si>
  <si>
    <t>Phila.: Bridesburg</t>
  </si>
  <si>
    <t>07330</t>
  </si>
  <si>
    <t>Nancy A. Gehres</t>
  </si>
  <si>
    <t>Cressona</t>
  </si>
  <si>
    <t>02130</t>
  </si>
  <si>
    <t>Margaret Marshman</t>
  </si>
  <si>
    <t>Gilberton</t>
  </si>
  <si>
    <t>02190</t>
  </si>
  <si>
    <t>William Penn</t>
  </si>
  <si>
    <t>02670</t>
  </si>
  <si>
    <t>Gerald Reifsnyder</t>
  </si>
  <si>
    <t>Oregon</t>
  </si>
  <si>
    <t>06610</t>
  </si>
  <si>
    <t>Cumbola</t>
  </si>
  <si>
    <t>02140</t>
  </si>
  <si>
    <t>James Fryer</t>
  </si>
  <si>
    <t>Drehersville: Salem</t>
  </si>
  <si>
    <t>02510</t>
  </si>
  <si>
    <t>New Ringgold: Zion</t>
  </si>
  <si>
    <t>02520</t>
  </si>
  <si>
    <t>Richard C. Holder</t>
  </si>
  <si>
    <t>Reading: Grace</t>
  </si>
  <si>
    <t>01580</t>
  </si>
  <si>
    <t>Alvan E. Outland</t>
  </si>
  <si>
    <t>Prospectville</t>
  </si>
  <si>
    <t>07660</t>
  </si>
  <si>
    <t>Richmond Watson</t>
  </si>
  <si>
    <t>Birdsboro: Christ</t>
  </si>
  <si>
    <t>01070</t>
  </si>
  <si>
    <t>Actual</t>
  </si>
  <si>
    <t xml:space="preserve"> A.  Congregational Transformation Team</t>
  </si>
  <si>
    <t>Schedule: Office of Congregational Transformation</t>
  </si>
  <si>
    <t xml:space="preserve">  a. Professional Expense Reimbursement</t>
  </si>
  <si>
    <t xml:space="preserve">  b.  Workers' Compensation</t>
  </si>
  <si>
    <t xml:space="preserve">  c. Program and Expenses</t>
  </si>
  <si>
    <t xml:space="preserve">  d. Other office Expenses</t>
  </si>
  <si>
    <t>Total CMF</t>
  </si>
  <si>
    <t xml:space="preserve">      2.   Strategic Plan Review</t>
  </si>
  <si>
    <t xml:space="preserve">      3.   Transformation Grants</t>
  </si>
  <si>
    <t xml:space="preserve">      4.   Congregational Transformation Team</t>
  </si>
  <si>
    <t>Total Congregational Transformation Team</t>
  </si>
  <si>
    <t xml:space="preserve"> B. Calling Disciples Resource Team</t>
  </si>
  <si>
    <t xml:space="preserve">      1.   Office of Outreach and Church Multiplications</t>
  </si>
  <si>
    <t>Schedule: Latino Plan &amp; Ministries</t>
  </si>
  <si>
    <t xml:space="preserve">  a. Director</t>
  </si>
  <si>
    <t xml:space="preserve">      5. Professional Expense Reimbursement</t>
  </si>
  <si>
    <t xml:space="preserve">      6. Workers Compensation</t>
  </si>
  <si>
    <t>Program</t>
  </si>
  <si>
    <t xml:space="preserve">  b.  New Church and Faith Communities Development</t>
  </si>
  <si>
    <t xml:space="preserve">  c.  Revitalization &amp; Strengthening of Existing</t>
  </si>
  <si>
    <t xml:space="preserve">  d.  Theological and Ministerial Education</t>
  </si>
  <si>
    <t xml:space="preserve">  e.  Latino Ministries Program</t>
  </si>
  <si>
    <t xml:space="preserve">  f.  Administrative</t>
  </si>
  <si>
    <t xml:space="preserve">  g. MARCHA</t>
  </si>
  <si>
    <t xml:space="preserve">  h.  Leadership Training</t>
  </si>
  <si>
    <t>Total Expenses</t>
  </si>
  <si>
    <t xml:space="preserve">      2.   United Methodist Appalachian Development Ministry Network</t>
  </si>
  <si>
    <t xml:space="preserve">      3.   New Church Starts/Redevelopment</t>
  </si>
  <si>
    <t xml:space="preserve">      5. Racial- Ethnic Ministries</t>
  </si>
  <si>
    <t>Total Calling Disciples Resource Team</t>
  </si>
  <si>
    <t xml:space="preserve"> C. Nurturing Disciples Resource Team</t>
  </si>
  <si>
    <t xml:space="preserve">      1.   Office of Camping and Nurture Ministries</t>
  </si>
  <si>
    <t xml:space="preserve">      2.   Nurturing Disciples Resource Team</t>
  </si>
  <si>
    <t xml:space="preserve">      3.   Safe Sanctuaries</t>
  </si>
  <si>
    <t xml:space="preserve">      4.   Youth and Young Adult Ministries</t>
  </si>
  <si>
    <t>Total Nurturing Disciples Resource Team</t>
  </si>
  <si>
    <t xml:space="preserve"> D. Addressing Community and World Issues Resource Team</t>
  </si>
  <si>
    <t xml:space="preserve">      1.   Office of Urban and Global Ministries</t>
  </si>
  <si>
    <t>Schedule: Office of Urban and Global Ministries</t>
  </si>
  <si>
    <t xml:space="preserve">  1. Workers' Compensation</t>
  </si>
  <si>
    <t xml:space="preserve">  2. Professional Expense Reimbursement</t>
  </si>
  <si>
    <t xml:space="preserve">  3.  Local Church Initiatives</t>
  </si>
  <si>
    <t xml:space="preserve">  4.  Strengthening the Black Church in the 21st Century</t>
  </si>
  <si>
    <t xml:space="preserve">  5. Scholarships/ Local Church Training -</t>
  </si>
  <si>
    <t xml:space="preserve">  6.  Shalom Zone</t>
  </si>
  <si>
    <t xml:space="preserve">  7. Intern</t>
  </si>
  <si>
    <t xml:space="preserve">  8. Consultant- Funding Resources/Grant Writer</t>
  </si>
  <si>
    <t xml:space="preserve">  9. Public Relations</t>
  </si>
  <si>
    <t xml:space="preserve"> 10. Office Expenses</t>
  </si>
  <si>
    <t xml:space="preserve"> 11. Local Church Programming- Project 6:15</t>
  </si>
  <si>
    <t xml:space="preserve"> 12. Travel &amp; other expenses for Urban Initative</t>
  </si>
  <si>
    <t xml:space="preserve"> 13. Cooperative Collections (The Foundation Center) :</t>
  </si>
  <si>
    <t xml:space="preserve"> 14. Temple University - Student Ministry</t>
  </si>
  <si>
    <t xml:space="preserve"> 15. WEB Site Maintenance</t>
  </si>
  <si>
    <t>Budget reduction</t>
  </si>
  <si>
    <t xml:space="preserve">      2.   Church and Society Work Team</t>
  </si>
  <si>
    <t xml:space="preserve">      3.   Conference Missionary Secretary</t>
  </si>
  <si>
    <t xml:space="preserve">      4.   Office of Human Relations and Leadership Ministries</t>
  </si>
  <si>
    <t xml:space="preserve">  2.  Professional Expense Reimbursement</t>
  </si>
  <si>
    <t xml:space="preserve">  3. Lay Disability and Life Insurance</t>
  </si>
  <si>
    <t xml:space="preserve">  4.  Program and Expenses - Human Relations</t>
  </si>
  <si>
    <t xml:space="preserve">  5.  Program and Expenses - Leadership</t>
  </si>
  <si>
    <t xml:space="preserve">  6.  Training and Education</t>
  </si>
  <si>
    <t xml:space="preserve"> </t>
  </si>
  <si>
    <t xml:space="preserve">      Level One</t>
  </si>
  <si>
    <t xml:space="preserve"> 7. Consultations</t>
  </si>
  <si>
    <t>Less: Fees Charged</t>
  </si>
  <si>
    <t xml:space="preserve">            a.  I-Care Team</t>
  </si>
  <si>
    <t xml:space="preserve">            b.  Religion and Race</t>
  </si>
  <si>
    <t xml:space="preserve">            c.  Status &amp; Role of Women</t>
  </si>
  <si>
    <t xml:space="preserve">      5.   Metropolitan Christian Council of Phila.</t>
  </si>
  <si>
    <t xml:space="preserve">      6.   Pennsylvania Council of Churches</t>
  </si>
  <si>
    <t xml:space="preserve">      7.   United Methodist Neighborhood Services</t>
  </si>
  <si>
    <t>The Rev.</t>
  </si>
  <si>
    <t>Mr.</t>
  </si>
  <si>
    <t>Robert Amundsen</t>
  </si>
  <si>
    <t>Sharon Barley</t>
  </si>
  <si>
    <t>The Rev. Dr.</t>
  </si>
  <si>
    <t>David P. Bergstrom</t>
  </si>
  <si>
    <t>Kemblesville</t>
  </si>
  <si>
    <t>03320</t>
  </si>
  <si>
    <t>Amelia M. Bobon</t>
  </si>
  <si>
    <t>Coleen G. Brandt</t>
  </si>
  <si>
    <t>Carlos M. Carrero</t>
  </si>
  <si>
    <t>David W. Cassidy</t>
  </si>
  <si>
    <t>James Cavallero</t>
  </si>
  <si>
    <t>Danielsville: Salem</t>
  </si>
  <si>
    <t>04430</t>
  </si>
  <si>
    <t>Dong-Jin Choi</t>
  </si>
  <si>
    <t>Sandra Cislo</t>
  </si>
  <si>
    <t>Marcus Hook: Cokesbury</t>
  </si>
  <si>
    <t>03410</t>
  </si>
  <si>
    <t>Robert A. Crane</t>
  </si>
  <si>
    <t>Chatham</t>
  </si>
  <si>
    <t>03080</t>
  </si>
  <si>
    <t>Debra J. Davis</t>
  </si>
  <si>
    <t>Mrs.</t>
  </si>
  <si>
    <t>Deanie DiBenedetto</t>
  </si>
  <si>
    <t>Mark A. Dricker</t>
  </si>
  <si>
    <t>Gertrude M. Duckett</t>
  </si>
  <si>
    <t>Chester: Siloam</t>
  </si>
  <si>
    <t xml:space="preserve">               01-50101-01-1020</t>
  </si>
  <si>
    <t xml:space="preserve">Salaries - Executive Director </t>
  </si>
  <si>
    <t xml:space="preserve">               01-51200-01-1020</t>
  </si>
  <si>
    <t>Workers Compensation</t>
  </si>
  <si>
    <t xml:space="preserve">               01-51300-01-1020</t>
  </si>
  <si>
    <t xml:space="preserve">Health &amp; Life Group Insurance </t>
  </si>
  <si>
    <t xml:space="preserve">               01-51400-01-1020</t>
  </si>
  <si>
    <t xml:space="preserve">Pension </t>
  </si>
  <si>
    <t xml:space="preserve">               01-53200-01-1020</t>
  </si>
  <si>
    <t xml:space="preserve">Telephone </t>
  </si>
  <si>
    <t xml:space="preserve">               01-53400-01-1020</t>
  </si>
  <si>
    <t xml:space="preserve">Postage </t>
  </si>
  <si>
    <t xml:space="preserve">               01-53500-01-1020</t>
  </si>
  <si>
    <t>Small Tools &amp; Equipment</t>
  </si>
  <si>
    <t xml:space="preserve">               01-53600-01-1020</t>
  </si>
  <si>
    <t xml:space="preserve">Materials &amp; Supplies </t>
  </si>
  <si>
    <t xml:space="preserve">               01-54000-01-1020</t>
  </si>
  <si>
    <t xml:space="preserve">Printing &amp; Copies </t>
  </si>
  <si>
    <t xml:space="preserve">               01-54400-01-1020</t>
  </si>
  <si>
    <t>Data Processing</t>
  </si>
  <si>
    <t xml:space="preserve">               01-55100-01-1020</t>
  </si>
  <si>
    <t>Housing Allowance</t>
  </si>
  <si>
    <t xml:space="preserve">               01-55300-01-1020</t>
  </si>
  <si>
    <t xml:space="preserve">Professional Expense </t>
  </si>
  <si>
    <t xml:space="preserve">               01-56100-01-1020</t>
  </si>
  <si>
    <t xml:space="preserve">Program Expenses </t>
  </si>
  <si>
    <t xml:space="preserve">               01-53400-01-1040</t>
  </si>
  <si>
    <t xml:space="preserve">               01-53600-01-1040</t>
  </si>
  <si>
    <t xml:space="preserve">               01-54000-01-1040</t>
  </si>
  <si>
    <t xml:space="preserve">               01-54700-01-1040</t>
  </si>
  <si>
    <t xml:space="preserve">               01-55200-01-1040</t>
  </si>
  <si>
    <t xml:space="preserve">               01-56100-01-1040</t>
  </si>
  <si>
    <t xml:space="preserve">               01-56150-01-1040</t>
  </si>
  <si>
    <t>Structure Review Team</t>
  </si>
  <si>
    <t xml:space="preserve">               01-59900-01-1040</t>
  </si>
  <si>
    <t xml:space="preserve">               01-55200-01-1050</t>
  </si>
  <si>
    <t>Travel And Related C CTT Transformation Grants</t>
  </si>
  <si>
    <t xml:space="preserve">               01-56100-01-1050</t>
  </si>
  <si>
    <t xml:space="preserve">               01-53400-01-1060</t>
  </si>
  <si>
    <t>Postage</t>
  </si>
  <si>
    <t xml:space="preserve">               01-56100-01-1060</t>
  </si>
  <si>
    <t xml:space="preserve">          Calling Disciples Resource Team</t>
  </si>
  <si>
    <t xml:space="preserve">               01-53400-02-2000</t>
  </si>
  <si>
    <t xml:space="preserve">               01-54000-02-2000</t>
  </si>
  <si>
    <t xml:space="preserve">               01-55200-02-2000</t>
  </si>
  <si>
    <t xml:space="preserve">Travel And Related </t>
  </si>
  <si>
    <t xml:space="preserve">               01-55700-02-2000</t>
  </si>
  <si>
    <t xml:space="preserve">Training &amp; Education </t>
  </si>
  <si>
    <t xml:space="preserve">               01-56100-02-2000</t>
  </si>
  <si>
    <t xml:space="preserve">               01-59900-02-2000</t>
  </si>
  <si>
    <t xml:space="preserve">Misc Expenses </t>
  </si>
  <si>
    <t xml:space="preserve">          Total Calling Disciples Resource Team</t>
  </si>
  <si>
    <t xml:space="preserve">               01-41011-02-2000</t>
  </si>
  <si>
    <t xml:space="preserve">Reserve Use </t>
  </si>
  <si>
    <t>Workshop Registrations</t>
  </si>
  <si>
    <t xml:space="preserve">               01-50105-02-2005</t>
  </si>
  <si>
    <t xml:space="preserve">Salaries - Director </t>
  </si>
  <si>
    <t xml:space="preserve">               01-51000-02-2005</t>
  </si>
  <si>
    <t xml:space="preserve">FICA </t>
  </si>
  <si>
    <t xml:space="preserve">               01-51200-02-2005</t>
  </si>
  <si>
    <t xml:space="preserve">Workers Compensation </t>
  </si>
  <si>
    <t xml:space="preserve">               01-51300-02-2005</t>
  </si>
  <si>
    <t>Health &amp; Life Group</t>
  </si>
  <si>
    <t xml:space="preserve">               01-51400-02-2005</t>
  </si>
  <si>
    <t xml:space="preserve">               01-53200-02-2005</t>
  </si>
  <si>
    <t xml:space="preserve">               01-53400-02-2005</t>
  </si>
  <si>
    <t xml:space="preserve">               01-53600-02-2005</t>
  </si>
  <si>
    <t>Materials &amp; Supplies</t>
  </si>
  <si>
    <t xml:space="preserve">               01-54000-02-2005</t>
  </si>
  <si>
    <t xml:space="preserve">               01-54400-02-2005</t>
  </si>
  <si>
    <t xml:space="preserve">               01-55100-02-2005</t>
  </si>
  <si>
    <t xml:space="preserve">               01-55300-02-2005</t>
  </si>
  <si>
    <t xml:space="preserve">               01-55700-02-2005</t>
  </si>
  <si>
    <t xml:space="preserve">               01-55702-02-2005</t>
  </si>
  <si>
    <t>Theological &amp; Ministerial Education</t>
  </si>
  <si>
    <t xml:space="preserve">               01-56000-02-2005</t>
  </si>
  <si>
    <t xml:space="preserve">Program Materials </t>
  </si>
  <si>
    <t xml:space="preserve">               01-56100-02-2005</t>
  </si>
  <si>
    <t xml:space="preserve">               01-56101-02-2005</t>
  </si>
  <si>
    <t xml:space="preserve">New Church &amp; Faith </t>
  </si>
  <si>
    <t xml:space="preserve">               01-56102-02-2005</t>
  </si>
  <si>
    <t>Revitalize/Strengthen Existing Churches</t>
  </si>
  <si>
    <t xml:space="preserve">               01-59600-02-2010</t>
  </si>
  <si>
    <t>Appropr to CDRT Appalachian Dev Corp</t>
  </si>
  <si>
    <t xml:space="preserve">               01-41011-02-2030</t>
  </si>
  <si>
    <t xml:space="preserve">               01-45005-02-2030</t>
  </si>
  <si>
    <t xml:space="preserve">Bequests And Gifts </t>
  </si>
  <si>
    <t xml:space="preserve">               01-53600-02-2030</t>
  </si>
  <si>
    <t xml:space="preserve">               01-56000-02-2030</t>
  </si>
  <si>
    <t xml:space="preserve">Program </t>
  </si>
  <si>
    <t xml:space="preserve">               01-56100-02-2030</t>
  </si>
  <si>
    <t>Church Multiplication Ministries</t>
  </si>
  <si>
    <t>Revivals</t>
  </si>
  <si>
    <t xml:space="preserve">               01-59600-02-2060</t>
  </si>
  <si>
    <t>Appropr CDRT U.M. Witness in PA</t>
  </si>
  <si>
    <t xml:space="preserve">               01-53200-03-3000</t>
  </si>
  <si>
    <t xml:space="preserve">               01-53400-03-3000</t>
  </si>
  <si>
    <t xml:space="preserve">               01-54000-03-3000</t>
  </si>
  <si>
    <t>Printing &amp; Copies</t>
  </si>
  <si>
    <t xml:space="preserve">               01-55200-03-3000</t>
  </si>
  <si>
    <t xml:space="preserve">               01-56100-03-3000</t>
  </si>
  <si>
    <t xml:space="preserve">               01-59900-03-3000</t>
  </si>
  <si>
    <t xml:space="preserve">          Total</t>
  </si>
  <si>
    <t xml:space="preserve">               01-59650-03-3001</t>
  </si>
  <si>
    <t>Apportionment to Camping Ministry</t>
  </si>
  <si>
    <t xml:space="preserve">               01-59651-03-3001</t>
  </si>
  <si>
    <t>Apportionment - Gret Nur. Disc. RT Office of Camp/Retrea</t>
  </si>
  <si>
    <t xml:space="preserve">               01-59652-03-3001</t>
  </si>
  <si>
    <t>Apportionment - Inna Nur. Disc. RT Office of Camp/Retrea</t>
  </si>
  <si>
    <t xml:space="preserve">               01-59653-03-3001</t>
  </si>
  <si>
    <t>Apportionment - Poco Nur. Disc. RT Office of Camp/Retrea</t>
  </si>
  <si>
    <t xml:space="preserve">               01-59654-03-3001</t>
  </si>
  <si>
    <t>Apportionment - Cars Nur. Disc. RT Office of Camp/Retrea</t>
  </si>
  <si>
    <t xml:space="preserve">               01-45005-03-3005</t>
  </si>
  <si>
    <t>Bequests And Gifts - Nur. Disc. RT- Christian Ed/Worship</t>
  </si>
  <si>
    <t xml:space="preserve">               01-53200-03-3005</t>
  </si>
  <si>
    <t>Telephone Nur. Disc. RT Christian Ed/Worship</t>
  </si>
  <si>
    <t xml:space="preserve">               01-53400-03-3005</t>
  </si>
  <si>
    <t>Postage Nur. Disc. RT Christian Ed/Worship</t>
  </si>
  <si>
    <t xml:space="preserve">               01-53600-03-3005</t>
  </si>
  <si>
    <t>Materials &amp; Supplies Nur. Disc. RT Christian Ed/Worship</t>
  </si>
  <si>
    <t xml:space="preserve">               01-54000-03-3005</t>
  </si>
  <si>
    <t>Printing &amp; Copies Nur. Disc. RT Christian Ed/Worship</t>
  </si>
  <si>
    <t xml:space="preserve">               01-55200-03-3005</t>
  </si>
  <si>
    <t>Travel And Related C Nur. Disc. RT Christian Ed/Worship</t>
  </si>
  <si>
    <t xml:space="preserve">               01-56100-00-3005</t>
  </si>
  <si>
    <t xml:space="preserve">               01-56100-03-3005</t>
  </si>
  <si>
    <t>Program Expenses Nur. Disc. RT Christian Ed/Worship</t>
  </si>
  <si>
    <t xml:space="preserve">               01-56103-03-3005</t>
  </si>
  <si>
    <t xml:space="preserve">               01-59900-03-3005</t>
  </si>
  <si>
    <t xml:space="preserve">          Safe Sanctuaries</t>
  </si>
  <si>
    <t xml:space="preserve">               01-53200-03-3010</t>
  </si>
  <si>
    <t>Telephone Nur. Disc. RT Safe Sanctuaries</t>
  </si>
  <si>
    <t xml:space="preserve">               01-53400-03-3010</t>
  </si>
  <si>
    <t>Postage Nur. Disc. RT Safe Sanctuaries</t>
  </si>
  <si>
    <t xml:space="preserve">               01-53600-03-3010</t>
  </si>
  <si>
    <t>Materials &amp; Supplies Nur. Disc. RT Safe Sanctuaries</t>
  </si>
  <si>
    <t xml:space="preserve">               01-55200-03-3010</t>
  </si>
  <si>
    <t>Travel And Related C Nur. Disc. RT Safe Sanctuaries</t>
  </si>
  <si>
    <t xml:space="preserve">               01-56100-03-3010</t>
  </si>
  <si>
    <t>Program Expenses Nur. Disc. RT Safe Sanctuaries</t>
  </si>
  <si>
    <t xml:space="preserve">               01-59900-03-3010</t>
  </si>
  <si>
    <t>Misc Expenses Nur. Disc. RT Safe Sanctuaries</t>
  </si>
  <si>
    <t xml:space="preserve">               01-50900-03-3060</t>
  </si>
  <si>
    <t xml:space="preserve">               01-51000-03-3060</t>
  </si>
  <si>
    <t xml:space="preserve">               01-51200-03-3060</t>
  </si>
  <si>
    <t xml:space="preserve">               01-51300-03-3060</t>
  </si>
  <si>
    <t xml:space="preserve">               01-51400-03-3060</t>
  </si>
  <si>
    <t xml:space="preserve">               01-53200-03-3060</t>
  </si>
  <si>
    <t xml:space="preserve">               01-53200-05-3060</t>
  </si>
  <si>
    <t>Telephone</t>
  </si>
  <si>
    <t xml:space="preserve">               01-53400-03-3060</t>
  </si>
  <si>
    <t xml:space="preserve">               01-53600-03-3060</t>
  </si>
  <si>
    <t xml:space="preserve">               01-54000-03-3060</t>
  </si>
  <si>
    <t xml:space="preserve">               01-55100-03-3060</t>
  </si>
  <si>
    <t xml:space="preserve">               01-55300-03-3060</t>
  </si>
  <si>
    <t xml:space="preserve">               01-56000-03-3060</t>
  </si>
  <si>
    <t xml:space="preserve">               01-56100-03-3060</t>
  </si>
  <si>
    <t xml:space="preserve">               01-56104-03-3060</t>
  </si>
  <si>
    <t xml:space="preserve">               01-56105-03-3060</t>
  </si>
  <si>
    <t xml:space="preserve">               01-56106-03-3060</t>
  </si>
  <si>
    <t>Youth Annual Conference</t>
  </si>
  <si>
    <t xml:space="preserve">               01-56200-03-3060</t>
  </si>
  <si>
    <t xml:space="preserve">               01-53200-04-4000</t>
  </si>
  <si>
    <t xml:space="preserve">               01-53400-04-4000</t>
  </si>
  <si>
    <t xml:space="preserve">               01-54000-04-4000</t>
  </si>
  <si>
    <t xml:space="preserve">               01-55200-04-4000</t>
  </si>
  <si>
    <t xml:space="preserve">               01-56100-04-4000</t>
  </si>
  <si>
    <t xml:space="preserve">               01-59900-04-4000</t>
  </si>
  <si>
    <t xml:space="preserve">               01-50105-04-4010</t>
  </si>
  <si>
    <t xml:space="preserve">               01-51000-04-4010</t>
  </si>
  <si>
    <t xml:space="preserve">               01-51200-04-4010</t>
  </si>
  <si>
    <t xml:space="preserve">               01-51300-04-4010</t>
  </si>
  <si>
    <t xml:space="preserve">               01-51400-04-4010</t>
  </si>
  <si>
    <t xml:space="preserve">               01-52200-04-4010</t>
  </si>
  <si>
    <t xml:space="preserve">               01-52500-04-4010</t>
  </si>
  <si>
    <t>Copier Lease &amp; Maintenance</t>
  </si>
  <si>
    <t xml:space="preserve">               01-53200-04-4010</t>
  </si>
  <si>
    <t xml:space="preserve">               01-53400-04-4010</t>
  </si>
  <si>
    <t xml:space="preserve">               01-53600-04-4010</t>
  </si>
  <si>
    <t xml:space="preserve">               01-54000-04-4010</t>
  </si>
  <si>
    <t xml:space="preserve">               01-54400-04-4010</t>
  </si>
  <si>
    <t xml:space="preserve">               01-55100-04-4010</t>
  </si>
  <si>
    <t>Travel And Related Costs</t>
  </si>
  <si>
    <t xml:space="preserve">               01-55300-04-4010</t>
  </si>
  <si>
    <t xml:space="preserve">               01-56000-04-4010</t>
  </si>
  <si>
    <t>Program Materials</t>
  </si>
  <si>
    <t xml:space="preserve">               01-56100-04-4010</t>
  </si>
  <si>
    <t>Program Expenses</t>
  </si>
  <si>
    <t xml:space="preserve">               01-56107-04-4010</t>
  </si>
  <si>
    <t xml:space="preserve">               01-56108-04-4010</t>
  </si>
  <si>
    <t xml:space="preserve">               01-56109-04-4010</t>
  </si>
  <si>
    <t xml:space="preserve">               01-56110-04-4010</t>
  </si>
  <si>
    <t>Johnson UGO Foundation Library</t>
  </si>
  <si>
    <t xml:space="preserve">               01-56111-04-4010</t>
  </si>
  <si>
    <t xml:space="preserve">               01-58800-04-4010</t>
  </si>
  <si>
    <t>Table of Contents</t>
  </si>
  <si>
    <t>Description</t>
  </si>
  <si>
    <t xml:space="preserve">Page </t>
  </si>
  <si>
    <t>Summary</t>
  </si>
  <si>
    <t>1-2</t>
  </si>
  <si>
    <t>6-8</t>
  </si>
  <si>
    <t>9-13</t>
  </si>
  <si>
    <t>14-20</t>
  </si>
  <si>
    <t>Connectional Ministry Report - May 2009</t>
  </si>
  <si>
    <t>Connectional Table Expenses</t>
  </si>
  <si>
    <t>Global Health</t>
  </si>
  <si>
    <t>Ministry with the Poor</t>
  </si>
  <si>
    <t>Developing Principled Leaders</t>
  </si>
  <si>
    <t>Creating New Places for New People</t>
  </si>
  <si>
    <t>Income - Episcopal Office Reserves</t>
  </si>
  <si>
    <t>Income - EPA Conference Reserves</t>
  </si>
  <si>
    <t>Income - Flanagan Fund - Investment Income</t>
  </si>
  <si>
    <t>Income - Equitable Comp - Investment Income</t>
  </si>
  <si>
    <t>Admin, Comm,Trustees, Other</t>
  </si>
  <si>
    <t>SCHEDULE 1</t>
  </si>
  <si>
    <t>Contribution to Conference Reserves</t>
  </si>
  <si>
    <t>Contribution Pre-82 Pension Obligation</t>
  </si>
  <si>
    <t>Connectional Ministry Fund - 2021 Budget</t>
  </si>
  <si>
    <t>COST</t>
  </si>
  <si>
    <t>SCHEDULE 2</t>
  </si>
  <si>
    <t>CENTER</t>
  </si>
  <si>
    <t>Office of Connectional Ministries</t>
  </si>
  <si>
    <t>Connectional Table</t>
  </si>
  <si>
    <t>Conference Leadership Committee</t>
  </si>
  <si>
    <t xml:space="preserve">Equitable Compensation </t>
  </si>
  <si>
    <t>UM Advocacy in PA</t>
  </si>
  <si>
    <t>Office of Urban Ministries</t>
  </si>
  <si>
    <t>Prison Ministry</t>
  </si>
  <si>
    <t>Religious Leaders Council of Philadelphia</t>
  </si>
  <si>
    <t>Conference Missions</t>
  </si>
  <si>
    <t>New</t>
  </si>
  <si>
    <t>Healing the Wounds of Racism Core Team</t>
  </si>
  <si>
    <t>Commission on Religion and Race</t>
  </si>
  <si>
    <t>Domestic Violence Ministry</t>
  </si>
  <si>
    <t>Disaster Relief</t>
  </si>
  <si>
    <t>Rapid Response Team</t>
  </si>
  <si>
    <t>Volunteers in Mission</t>
  </si>
  <si>
    <t>Congo Partnership</t>
  </si>
  <si>
    <t>Registration Fees</t>
  </si>
  <si>
    <t>Health &amp; Healing Council</t>
  </si>
  <si>
    <t>Global Ministries</t>
  </si>
  <si>
    <t>Office of Camping and Nuturing Ministries</t>
  </si>
  <si>
    <t>EPA Conference Disability Concerns Committee</t>
  </si>
  <si>
    <t>Children's Ministry Team</t>
  </si>
  <si>
    <t>Status and Role of Women: Commission On</t>
  </si>
  <si>
    <t>Campus Ministry</t>
  </si>
  <si>
    <t>United Methodist Men</t>
  </si>
  <si>
    <t>Safe Sanctuaries</t>
  </si>
  <si>
    <t>BOOM Administration and Programs</t>
  </si>
  <si>
    <t>BOOM Pastoral Care</t>
  </si>
  <si>
    <t>BOOM Ministerial Expenses</t>
  </si>
  <si>
    <t>BOOM Ministerial Income</t>
  </si>
  <si>
    <t>DS Fund - Central District</t>
  </si>
  <si>
    <t>DS Fund - Northwest District</t>
  </si>
  <si>
    <t>DS Fund - Southeast District / South</t>
  </si>
  <si>
    <t>DS Fund - Northeast District / North</t>
  </si>
  <si>
    <t>DS Fund - Southwest District / West</t>
  </si>
  <si>
    <t>DS Fund - East District / East</t>
  </si>
  <si>
    <t>DS Fund - Cabinet Mission &amp; Ministry</t>
  </si>
  <si>
    <t>Total DS Fund</t>
  </si>
  <si>
    <t>Lay training Scholarship Fund</t>
  </si>
  <si>
    <t>EPA Scholarship Committee</t>
  </si>
  <si>
    <t>Total DPL</t>
  </si>
  <si>
    <t>Admin, Communications, Trustees</t>
  </si>
  <si>
    <t>Office of Administrative Ministries - Recoveries</t>
  </si>
  <si>
    <t>Office of Administrative Ministries - Expenses</t>
  </si>
  <si>
    <t>Office of Administrative Ministries - Net Exp</t>
  </si>
  <si>
    <t>Trustees - Central District</t>
  </si>
  <si>
    <t>Trustees - Northwest District</t>
  </si>
  <si>
    <t>Trustees - Southeast District / South</t>
  </si>
  <si>
    <t>Trustees - Northeast District / North</t>
  </si>
  <si>
    <t>Trustees - Southwest District / West</t>
  </si>
  <si>
    <t>Trustees - East District</t>
  </si>
  <si>
    <t>Total Trustees District Offices</t>
  </si>
  <si>
    <t>Other Expense</t>
  </si>
  <si>
    <t>Total Expenses - Board of Trustees</t>
  </si>
  <si>
    <t>Reserves</t>
  </si>
  <si>
    <t>Total Revenues - Board of Trustees</t>
  </si>
  <si>
    <t>Net Expenses - Board of Trustees</t>
  </si>
  <si>
    <t>Office of Communications</t>
  </si>
  <si>
    <t>Council on Finance and Administration</t>
  </si>
  <si>
    <t>NE Jurisdictional Conference Support</t>
  </si>
  <si>
    <t>Moving Expenses</t>
  </si>
  <si>
    <t>Total - Admin, Communications &amp; Trustees</t>
  </si>
  <si>
    <t xml:space="preserve">Grand Total </t>
  </si>
  <si>
    <t>The Eastern Pennsylvania Conference of the UMC</t>
  </si>
  <si>
    <t>2021 Budget From General Church</t>
  </si>
  <si>
    <t>SCHEDULE 3</t>
  </si>
  <si>
    <t>Decrease</t>
  </si>
  <si>
    <t>World Service Fund</t>
  </si>
  <si>
    <t>General Church Funds:</t>
  </si>
  <si>
    <t xml:space="preserve">     Ministerial Education</t>
  </si>
  <si>
    <t xml:space="preserve">     Black College</t>
  </si>
  <si>
    <t xml:space="preserve">     Africa University</t>
  </si>
  <si>
    <t xml:space="preserve">     Episcopal Fund</t>
  </si>
  <si>
    <t xml:space="preserve">     General Administration</t>
  </si>
  <si>
    <t xml:space="preserve">     Interdenominational Cooperation</t>
  </si>
  <si>
    <t>General Church Funds</t>
  </si>
  <si>
    <t>Staff Compensation and Benefits</t>
  </si>
  <si>
    <t>SCHEDULE 4</t>
  </si>
  <si>
    <t>FT</t>
  </si>
  <si>
    <t>PT</t>
  </si>
  <si>
    <t>Staff</t>
  </si>
  <si>
    <t xml:space="preserve"> 000's</t>
  </si>
  <si>
    <t>District Offices</t>
  </si>
  <si>
    <t>10/8</t>
  </si>
  <si>
    <t xml:space="preserve">  4 Districts starting 7/1/2017</t>
  </si>
  <si>
    <t>Offices:</t>
  </si>
  <si>
    <t xml:space="preserve">DCM, Latino Plan, </t>
  </si>
  <si>
    <t>New Church Starts,</t>
  </si>
  <si>
    <t>Communications,</t>
  </si>
  <si>
    <t>Youth Ministry, Urban</t>
  </si>
  <si>
    <t>Administration</t>
  </si>
  <si>
    <t>Accounting(2), Treasurer(1),</t>
  </si>
  <si>
    <t>Database(1), Desktop Publising(1)</t>
  </si>
  <si>
    <t>Data Entry Clerk(1)</t>
  </si>
  <si>
    <t>Total - EPA Conference</t>
  </si>
  <si>
    <t>18/16</t>
  </si>
  <si>
    <t>The Eastern Pennsylvania Conference of The United Methodist Church</t>
  </si>
  <si>
    <t>Church Payments - Apportionments and Billed Funds</t>
  </si>
  <si>
    <t>SCHEDULE 5</t>
  </si>
  <si>
    <t>2019 Paid</t>
  </si>
  <si>
    <t>2018 Paid</t>
  </si>
  <si>
    <t>2017 Paid</t>
  </si>
  <si>
    <t>% Paid</t>
  </si>
  <si>
    <t>Churches</t>
  </si>
  <si>
    <t>Paid</t>
  </si>
  <si>
    <t>100% or more</t>
  </si>
  <si>
    <t>50% to 99.9%</t>
  </si>
  <si>
    <t>0% to 49.9%</t>
  </si>
  <si>
    <t>2016 Paid</t>
  </si>
  <si>
    <t>2015 Paid</t>
  </si>
  <si>
    <t>2014 Paid</t>
  </si>
  <si>
    <t xml:space="preserve">  6 Districts until 6/30/2017</t>
  </si>
  <si>
    <t>Note 1</t>
  </si>
  <si>
    <t>Note 2</t>
  </si>
  <si>
    <t>Note 1 - Increase due to all districts have housing allowance instead of parsonage</t>
  </si>
  <si>
    <t>Note 2 - 1 Full-time and 1 Part-time position eliminated as of July 1,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</si>
</sst>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_);\(&quot;$&quot;#,##0\)"/>
    <numFmt numFmtId="7" formatCode="&quot;$&quot;#,##0.00_);\(&quot;$&quot;#,##0.00\)"/>
    <numFmt numFmtId="43" formatCode="_(* #,##0.00_);_(* \(#,##0.00\);_(* &quot;-&quot;??_);_(@_)"/>
    <numFmt numFmtId="164" formatCode="_(* #,##0_);_(* \(#,##0\);_(* &quot;-&quot;??_);_(@_)"/>
    <numFmt numFmtId="165" formatCode="&quot;$&quot;#,##0"/>
    <numFmt numFmtId="166" formatCode="0.0%"/>
  </numFmts>
  <fonts count="46" x14ac:knownFonts="1">
    <font>
      <sz val="10"/>
      <name val="MS Sans Serif"/>
    </font>
    <font>
      <sz val="10"/>
      <name val="MS Sans Serif"/>
      <family val="2"/>
    </font>
    <font>
      <b/>
      <sz val="10"/>
      <name val="MS Sans Serif"/>
      <family val="2"/>
    </font>
    <font>
      <b/>
      <sz val="12"/>
      <name val="Arial"/>
      <family val="2"/>
    </font>
    <font>
      <sz val="12"/>
      <name val="Arial"/>
      <family val="2"/>
    </font>
    <font>
      <b/>
      <sz val="10"/>
      <name val="Arial"/>
      <family val="2"/>
    </font>
    <font>
      <sz val="10"/>
      <name val="Arial"/>
      <family val="2"/>
    </font>
    <font>
      <b/>
      <sz val="14"/>
      <name val="Arial"/>
      <family val="2"/>
    </font>
    <font>
      <sz val="11"/>
      <name val="Arial"/>
      <family val="2"/>
    </font>
    <font>
      <b/>
      <sz val="11"/>
      <name val="Arial"/>
      <family val="2"/>
    </font>
    <font>
      <sz val="10"/>
      <color indexed="8"/>
      <name val="Arial"/>
      <family val="2"/>
    </font>
    <font>
      <sz val="10"/>
      <name val="Symbol"/>
      <family val="1"/>
      <charset val="2"/>
    </font>
    <font>
      <b/>
      <sz val="10"/>
      <color indexed="8"/>
      <name val="Arial"/>
      <family val="2"/>
    </font>
    <font>
      <sz val="8.5"/>
      <name val="MS Sans Serif"/>
      <family val="2"/>
    </font>
    <font>
      <sz val="12"/>
      <color indexed="8"/>
      <name val="Arial"/>
      <family val="2"/>
    </font>
    <font>
      <b/>
      <sz val="12"/>
      <color indexed="8"/>
      <name val="Arial"/>
      <family val="2"/>
    </font>
    <font>
      <sz val="11"/>
      <color indexed="8"/>
      <name val="Arial"/>
      <family val="2"/>
    </font>
    <font>
      <b/>
      <sz val="11"/>
      <color indexed="8"/>
      <name val="Arial"/>
      <family val="2"/>
    </font>
    <font>
      <sz val="8"/>
      <name val="MS Sans Serif"/>
      <family val="2"/>
    </font>
    <font>
      <b/>
      <sz val="14"/>
      <color indexed="8"/>
      <name val="Arial"/>
      <family val="2"/>
    </font>
    <font>
      <b/>
      <sz val="18"/>
      <color indexed="8"/>
      <name val="Arial"/>
      <family val="2"/>
    </font>
    <font>
      <b/>
      <sz val="16"/>
      <name val="Arial"/>
      <family val="2"/>
    </font>
    <font>
      <b/>
      <sz val="16"/>
      <color indexed="8"/>
      <name val="Arial"/>
      <family val="2"/>
    </font>
    <font>
      <b/>
      <i/>
      <sz val="9"/>
      <color indexed="8"/>
      <name val="Arial"/>
      <family val="2"/>
    </font>
    <font>
      <i/>
      <sz val="9"/>
      <color indexed="8"/>
      <name val="Arial"/>
      <family val="2"/>
    </font>
    <font>
      <b/>
      <i/>
      <sz val="11"/>
      <color indexed="8"/>
      <name val="Arial"/>
      <family val="2"/>
    </font>
    <font>
      <i/>
      <sz val="11"/>
      <color indexed="8"/>
      <name val="Arial"/>
      <family val="2"/>
    </font>
    <font>
      <b/>
      <i/>
      <sz val="10"/>
      <color indexed="8"/>
      <name val="Arial"/>
      <family val="2"/>
    </font>
    <font>
      <b/>
      <u/>
      <sz val="11"/>
      <color indexed="8"/>
      <name val="Arial"/>
      <family val="2"/>
    </font>
    <font>
      <u/>
      <sz val="11"/>
      <color indexed="8"/>
      <name val="Arial"/>
      <family val="2"/>
    </font>
    <font>
      <sz val="11"/>
      <color rgb="FF006100"/>
      <name val="Calibri"/>
      <family val="2"/>
      <scheme val="minor"/>
    </font>
    <font>
      <sz val="11"/>
      <color rgb="FF006100"/>
      <name val="Arial"/>
      <family val="2"/>
    </font>
    <font>
      <b/>
      <sz val="11"/>
      <color rgb="FF006100"/>
      <name val="Arial"/>
      <family val="2"/>
    </font>
    <font>
      <b/>
      <sz val="11"/>
      <color theme="1"/>
      <name val="Calibri"/>
      <family val="2"/>
      <scheme val="minor"/>
    </font>
    <font>
      <b/>
      <sz val="8"/>
      <color indexed="8"/>
      <name val="Arial"/>
      <family val="2"/>
    </font>
    <font>
      <b/>
      <sz val="18"/>
      <name val="Arial"/>
      <family val="2"/>
    </font>
    <font>
      <b/>
      <sz val="10"/>
      <name val="Arial Narrow"/>
      <family val="2"/>
    </font>
    <font>
      <sz val="14"/>
      <color indexed="8"/>
      <name val="Arial"/>
      <family val="2"/>
    </font>
    <font>
      <b/>
      <sz val="14"/>
      <color theme="1"/>
      <name val="Arial"/>
      <family val="2"/>
    </font>
    <font>
      <sz val="13.5"/>
      <color indexed="8"/>
      <name val="MS Sans Serif"/>
      <family val="2"/>
    </font>
    <font>
      <b/>
      <sz val="18"/>
      <color theme="1"/>
      <name val="Arial"/>
      <family val="2"/>
    </font>
    <font>
      <sz val="10"/>
      <color theme="1"/>
      <name val="Calibri"/>
      <family val="2"/>
      <scheme val="minor"/>
    </font>
    <font>
      <b/>
      <i/>
      <sz val="10"/>
      <color theme="1"/>
      <name val="Calibri"/>
      <family val="2"/>
      <scheme val="minor"/>
    </font>
    <font>
      <sz val="11"/>
      <color theme="1"/>
      <name val="Arial"/>
      <family val="2"/>
    </font>
    <font>
      <b/>
      <sz val="12"/>
      <color theme="1"/>
      <name val="Arial"/>
      <family val="2"/>
    </font>
    <font>
      <b/>
      <sz val="11"/>
      <color theme="1"/>
      <name val="Arial"/>
      <family val="2"/>
    </font>
  </fonts>
  <fills count="5">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tint="-0.249977111117893"/>
        <bgColor indexed="64"/>
      </patternFill>
    </fill>
  </fills>
  <borders count="31">
    <border>
      <left/>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8"/>
      </top>
      <bottom style="thin">
        <color indexed="8"/>
      </bottom>
      <diagonal/>
    </border>
    <border>
      <left/>
      <right/>
      <top/>
      <bottom style="thin">
        <color indexed="8"/>
      </bottom>
      <diagonal/>
    </border>
    <border>
      <left/>
      <right/>
      <top style="thin">
        <color indexed="64"/>
      </top>
      <bottom style="thin">
        <color indexed="64"/>
      </bottom>
      <diagonal/>
    </border>
    <border>
      <left/>
      <right/>
      <top/>
      <bottom style="double">
        <color indexed="8"/>
      </bottom>
      <diagonal/>
    </border>
    <border>
      <left/>
      <right/>
      <top style="thin">
        <color indexed="8"/>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s>
  <cellStyleXfs count="4">
    <xf numFmtId="0" fontId="0" fillId="0" borderId="0"/>
    <xf numFmtId="43" fontId="1" fillId="0" borderId="0" applyFont="0" applyFill="0" applyBorder="0" applyAlignment="0" applyProtection="0"/>
    <xf numFmtId="0" fontId="30" fillId="2" borderId="0" applyNumberFormat="0" applyBorder="0" applyAlignment="0" applyProtection="0"/>
    <xf numFmtId="9" fontId="1" fillId="0" borderId="0" applyFont="0" applyFill="0" applyBorder="0" applyAlignment="0" applyProtection="0"/>
  </cellStyleXfs>
  <cellXfs count="338">
    <xf numFmtId="0" fontId="0" fillId="0" borderId="0" xfId="0"/>
    <xf numFmtId="0" fontId="0" fillId="0" borderId="1" xfId="0" applyBorder="1"/>
    <xf numFmtId="0" fontId="0" fillId="0" borderId="2" xfId="0" applyBorder="1"/>
    <xf numFmtId="0" fontId="3" fillId="0" borderId="0" xfId="0" applyFont="1"/>
    <xf numFmtId="0" fontId="4" fillId="0" borderId="0" xfId="0" applyFont="1"/>
    <xf numFmtId="0" fontId="5" fillId="0" borderId="0" xfId="0" applyFont="1"/>
    <xf numFmtId="0" fontId="3" fillId="0" borderId="0" xfId="0" applyFont="1" applyAlignment="1">
      <alignment horizontal="center"/>
    </xf>
    <xf numFmtId="164" fontId="4" fillId="0" borderId="0" xfId="1" applyNumberFormat="1" applyFont="1"/>
    <xf numFmtId="0" fontId="6" fillId="0" borderId="0" xfId="0" applyFont="1"/>
    <xf numFmtId="0" fontId="2" fillId="0" borderId="0" xfId="0" applyFont="1"/>
    <xf numFmtId="164" fontId="0" fillId="0" borderId="0" xfId="1" applyNumberFormat="1" applyFont="1"/>
    <xf numFmtId="0" fontId="5" fillId="0" borderId="3" xfId="0" applyFont="1" applyBorder="1"/>
    <xf numFmtId="164" fontId="0" fillId="0" borderId="4" xfId="1" applyNumberFormat="1" applyFont="1" applyBorder="1"/>
    <xf numFmtId="164" fontId="5" fillId="0" borderId="5" xfId="1" applyNumberFormat="1" applyFont="1" applyBorder="1"/>
    <xf numFmtId="164" fontId="0" fillId="0" borderId="6" xfId="1" applyNumberFormat="1" applyFont="1" applyBorder="1"/>
    <xf numFmtId="164" fontId="0" fillId="0" borderId="7" xfId="1" applyNumberFormat="1" applyFont="1" applyBorder="1"/>
    <xf numFmtId="164" fontId="0" fillId="0" borderId="8" xfId="1" applyNumberFormat="1" applyFont="1" applyBorder="1"/>
    <xf numFmtId="164" fontId="0" fillId="0" borderId="9" xfId="1" applyNumberFormat="1" applyFont="1" applyBorder="1"/>
    <xf numFmtId="164" fontId="5" fillId="0" borderId="0" xfId="1" applyNumberFormat="1" applyFont="1"/>
    <xf numFmtId="164" fontId="6" fillId="0" borderId="8" xfId="1" applyNumberFormat="1" applyFont="1" applyBorder="1"/>
    <xf numFmtId="164" fontId="5" fillId="0" borderId="10" xfId="1" applyNumberFormat="1" applyFont="1" applyBorder="1"/>
    <xf numFmtId="164" fontId="0" fillId="0" borderId="0" xfId="1" applyNumberFormat="1" applyFont="1" applyBorder="1"/>
    <xf numFmtId="164" fontId="0" fillId="0" borderId="11" xfId="1" applyNumberFormat="1" applyFont="1" applyBorder="1"/>
    <xf numFmtId="0" fontId="0" fillId="0" borderId="1" xfId="0" applyFill="1" applyBorder="1"/>
    <xf numFmtId="0" fontId="7" fillId="0" borderId="0" xfId="0" applyFont="1" applyAlignment="1">
      <alignment horizontal="left"/>
    </xf>
    <xf numFmtId="164" fontId="0" fillId="0" borderId="0" xfId="0" applyNumberFormat="1"/>
    <xf numFmtId="164" fontId="0" fillId="0" borderId="0" xfId="1" applyNumberFormat="1" applyFont="1" applyFill="1" applyBorder="1"/>
    <xf numFmtId="0" fontId="8" fillId="0" borderId="0" xfId="0" applyFont="1"/>
    <xf numFmtId="0" fontId="5" fillId="0" borderId="0" xfId="0" applyFont="1" applyAlignment="1">
      <alignment horizontal="center"/>
    </xf>
    <xf numFmtId="0" fontId="9" fillId="0" borderId="0" xfId="0" applyFont="1" applyAlignment="1">
      <alignment horizontal="center"/>
    </xf>
    <xf numFmtId="0" fontId="9" fillId="0" borderId="0" xfId="0" applyFont="1"/>
    <xf numFmtId="0" fontId="2" fillId="0" borderId="0" xfId="0" applyNumberFormat="1" applyFont="1" applyAlignment="1">
      <alignment horizontal="center"/>
    </xf>
    <xf numFmtId="0" fontId="2" fillId="0" borderId="0" xfId="0" quotePrefix="1" applyNumberFormat="1" applyFont="1" applyAlignment="1">
      <alignment horizontal="center"/>
    </xf>
    <xf numFmtId="0" fontId="0" fillId="0" borderId="0" xfId="0" quotePrefix="1" applyNumberFormat="1"/>
    <xf numFmtId="5" fontId="0" fillId="0" borderId="0" xfId="0" applyNumberFormat="1"/>
    <xf numFmtId="7" fontId="0" fillId="0" borderId="0" xfId="0" applyNumberFormat="1"/>
    <xf numFmtId="0" fontId="3" fillId="0" borderId="0" xfId="0" applyFont="1" applyAlignment="1">
      <alignment horizontal="right"/>
    </xf>
    <xf numFmtId="9" fontId="4" fillId="0" borderId="0" xfId="3" applyFont="1"/>
    <xf numFmtId="10" fontId="4" fillId="0" borderId="0" xfId="3" applyNumberFormat="1" applyFont="1"/>
    <xf numFmtId="0" fontId="2" fillId="0" borderId="0" xfId="0" applyNumberFormat="1" applyFont="1"/>
    <xf numFmtId="7" fontId="2" fillId="0" borderId="0" xfId="0" applyNumberFormat="1" applyFont="1"/>
    <xf numFmtId="0" fontId="11" fillId="0" borderId="0" xfId="0" applyFont="1" applyAlignment="1">
      <alignment horizontal="left" indent="1"/>
    </xf>
    <xf numFmtId="164" fontId="2" fillId="0" borderId="0" xfId="1" applyNumberFormat="1" applyFont="1"/>
    <xf numFmtId="0" fontId="13" fillId="0" borderId="0" xfId="0" quotePrefix="1" applyNumberFormat="1" applyFont="1" applyAlignment="1">
      <alignment horizontal="left"/>
    </xf>
    <xf numFmtId="7" fontId="13" fillId="0" borderId="0" xfId="0" applyNumberFormat="1" applyFont="1" applyAlignment="1">
      <alignment horizontal="left"/>
    </xf>
    <xf numFmtId="0" fontId="13" fillId="0" borderId="0" xfId="0" applyFont="1" applyAlignment="1">
      <alignment horizontal="left"/>
    </xf>
    <xf numFmtId="0" fontId="4" fillId="0" borderId="0" xfId="0" quotePrefix="1" applyNumberFormat="1" applyFont="1" applyAlignment="1">
      <alignment horizontal="left"/>
    </xf>
    <xf numFmtId="5" fontId="4" fillId="0" borderId="0" xfId="0" applyNumberFormat="1" applyFont="1" applyAlignment="1">
      <alignment horizontal="left"/>
    </xf>
    <xf numFmtId="0" fontId="3" fillId="0" borderId="0" xfId="0" applyNumberFormat="1" applyFont="1"/>
    <xf numFmtId="5" fontId="3" fillId="0" borderId="0" xfId="0" applyNumberFormat="1" applyFont="1" applyAlignment="1">
      <alignment horizontal="left"/>
    </xf>
    <xf numFmtId="0" fontId="3" fillId="0" borderId="0" xfId="0" quotePrefix="1" applyNumberFormat="1" applyFont="1" applyAlignment="1">
      <alignment horizontal="left"/>
    </xf>
    <xf numFmtId="0" fontId="4" fillId="0" borderId="0" xfId="0" quotePrefix="1" applyNumberFormat="1" applyFont="1" applyAlignment="1">
      <alignment horizontal="center"/>
    </xf>
    <xf numFmtId="7" fontId="4" fillId="0" borderId="0" xfId="0" quotePrefix="1" applyNumberFormat="1" applyFont="1" applyAlignment="1">
      <alignment horizontal="left"/>
    </xf>
    <xf numFmtId="7" fontId="3" fillId="0" borderId="0" xfId="0" quotePrefix="1" applyNumberFormat="1" applyFont="1" applyAlignment="1">
      <alignment horizontal="left"/>
    </xf>
    <xf numFmtId="164" fontId="6" fillId="0" borderId="0" xfId="1" applyNumberFormat="1" applyFont="1"/>
    <xf numFmtId="164" fontId="6" fillId="0" borderId="4" xfId="1" applyNumberFormat="1" applyFont="1" applyBorder="1"/>
    <xf numFmtId="0" fontId="6" fillId="0" borderId="1" xfId="0" applyFont="1" applyBorder="1"/>
    <xf numFmtId="164" fontId="6" fillId="0" borderId="6" xfId="1" applyNumberFormat="1" applyFont="1" applyBorder="1"/>
    <xf numFmtId="164" fontId="6" fillId="0" borderId="7" xfId="1" applyNumberFormat="1" applyFont="1" applyBorder="1"/>
    <xf numFmtId="0" fontId="6" fillId="0" borderId="2" xfId="0" applyFont="1" applyBorder="1"/>
    <xf numFmtId="164" fontId="6" fillId="0" borderId="9" xfId="1" applyNumberFormat="1" applyFont="1" applyBorder="1"/>
    <xf numFmtId="164" fontId="6" fillId="0" borderId="0" xfId="1" applyNumberFormat="1" applyFont="1" applyBorder="1"/>
    <xf numFmtId="164" fontId="6" fillId="0" borderId="11" xfId="1" applyNumberFormat="1" applyFont="1" applyBorder="1"/>
    <xf numFmtId="0" fontId="6" fillId="0" borderId="1" xfId="0" applyFont="1" applyFill="1" applyBorder="1"/>
    <xf numFmtId="164" fontId="6" fillId="0" borderId="0" xfId="0" applyNumberFormat="1" applyFont="1"/>
    <xf numFmtId="0" fontId="5" fillId="0" borderId="0" xfId="0" applyFont="1" applyAlignment="1">
      <alignment horizontal="left"/>
    </xf>
    <xf numFmtId="164" fontId="5" fillId="0" borderId="0" xfId="0" applyNumberFormat="1" applyFont="1" applyAlignment="1">
      <alignment horizontal="left"/>
    </xf>
    <xf numFmtId="164" fontId="2" fillId="0" borderId="0" xfId="0" applyNumberFormat="1" applyFont="1"/>
    <xf numFmtId="37" fontId="4" fillId="0" borderId="0" xfId="1" applyNumberFormat="1" applyFont="1"/>
    <xf numFmtId="37" fontId="4" fillId="0" borderId="0" xfId="0" applyNumberFormat="1" applyFont="1"/>
    <xf numFmtId="37" fontId="0" fillId="0" borderId="0" xfId="0" applyNumberFormat="1"/>
    <xf numFmtId="37" fontId="3" fillId="0" borderId="0" xfId="1" applyNumberFormat="1" applyFont="1"/>
    <xf numFmtId="0" fontId="30" fillId="2" borderId="0" xfId="2"/>
    <xf numFmtId="37" fontId="30" fillId="2" borderId="0" xfId="2" applyNumberFormat="1"/>
    <xf numFmtId="37" fontId="17" fillId="0" borderId="12" xfId="0" applyNumberFormat="1" applyFont="1" applyBorder="1" applyAlignment="1">
      <alignment horizontal="right" vertical="center"/>
    </xf>
    <xf numFmtId="37" fontId="17" fillId="0" borderId="13" xfId="0" applyNumberFormat="1" applyFont="1" applyBorder="1" applyAlignment="1">
      <alignment horizontal="right" vertical="center"/>
    </xf>
    <xf numFmtId="0" fontId="14" fillId="0" borderId="0" xfId="0" applyNumberFormat="1" applyFont="1" applyFill="1" applyBorder="1" applyAlignment="1" applyProtection="1"/>
    <xf numFmtId="0" fontId="15" fillId="0" borderId="0" xfId="0" applyFont="1" applyAlignment="1">
      <alignment horizontal="center" vertical="center"/>
    </xf>
    <xf numFmtId="37" fontId="14" fillId="0" borderId="0" xfId="0" applyNumberFormat="1" applyFont="1" applyFill="1" applyBorder="1" applyAlignment="1" applyProtection="1"/>
    <xf numFmtId="0" fontId="16" fillId="0" borderId="0" xfId="0" applyNumberFormat="1" applyFont="1" applyFill="1" applyBorder="1" applyAlignment="1" applyProtection="1"/>
    <xf numFmtId="37" fontId="16" fillId="0" borderId="0" xfId="0" applyNumberFormat="1" applyFont="1" applyFill="1" applyBorder="1" applyAlignment="1" applyProtection="1"/>
    <xf numFmtId="0" fontId="17" fillId="0" borderId="0" xfId="0" applyFont="1" applyAlignment="1">
      <alignment horizontal="center" vertical="center"/>
    </xf>
    <xf numFmtId="0" fontId="17" fillId="0" borderId="0" xfId="0" applyFont="1" applyAlignment="1">
      <alignment horizontal="left" vertical="center"/>
    </xf>
    <xf numFmtId="0" fontId="16" fillId="0" borderId="0" xfId="0" applyFont="1" applyAlignment="1">
      <alignment horizontal="left" vertical="center"/>
    </xf>
    <xf numFmtId="3" fontId="16" fillId="0" borderId="0" xfId="0" applyNumberFormat="1" applyFont="1" applyAlignment="1">
      <alignment horizontal="right" vertical="center"/>
    </xf>
    <xf numFmtId="3" fontId="17" fillId="0" borderId="12" xfId="0" applyNumberFormat="1" applyFont="1" applyBorder="1" applyAlignment="1">
      <alignment horizontal="right" vertical="center"/>
    </xf>
    <xf numFmtId="3" fontId="17" fillId="0" borderId="13" xfId="0" applyNumberFormat="1" applyFont="1" applyBorder="1" applyAlignment="1">
      <alignment horizontal="right" vertical="center"/>
    </xf>
    <xf numFmtId="37" fontId="16" fillId="0" borderId="0" xfId="0" applyNumberFormat="1" applyFont="1" applyAlignment="1">
      <alignment horizontal="right" vertical="center"/>
    </xf>
    <xf numFmtId="0" fontId="17" fillId="0" borderId="0" xfId="0" applyNumberFormat="1" applyFont="1" applyFill="1" applyBorder="1" applyAlignment="1" applyProtection="1"/>
    <xf numFmtId="164" fontId="16" fillId="0" borderId="0" xfId="1" applyNumberFormat="1" applyFont="1" applyAlignment="1">
      <alignment horizontal="right" vertical="center"/>
    </xf>
    <xf numFmtId="164" fontId="17" fillId="0" borderId="12" xfId="1" applyNumberFormat="1" applyFont="1" applyBorder="1" applyAlignment="1">
      <alignment horizontal="right" vertical="center"/>
    </xf>
    <xf numFmtId="37" fontId="17" fillId="0" borderId="12" xfId="1" applyNumberFormat="1" applyFont="1" applyBorder="1" applyAlignment="1">
      <alignment horizontal="right" vertical="center"/>
    </xf>
    <xf numFmtId="164" fontId="16" fillId="0" borderId="0" xfId="1" applyNumberFormat="1" applyFont="1" applyFill="1" applyBorder="1" applyAlignment="1" applyProtection="1"/>
    <xf numFmtId="164" fontId="16" fillId="0" borderId="12" xfId="1" applyNumberFormat="1" applyFont="1" applyBorder="1" applyAlignment="1">
      <alignment horizontal="right" vertical="center"/>
    </xf>
    <xf numFmtId="37" fontId="16" fillId="0" borderId="12" xfId="1" applyNumberFormat="1" applyFont="1" applyBorder="1" applyAlignment="1">
      <alignment horizontal="right" vertical="center"/>
    </xf>
    <xf numFmtId="37" fontId="16" fillId="0" borderId="0" xfId="1" applyNumberFormat="1" applyFont="1" applyFill="1" applyBorder="1" applyAlignment="1" applyProtection="1"/>
    <xf numFmtId="164" fontId="17" fillId="0" borderId="13" xfId="1" applyNumberFormat="1" applyFont="1" applyBorder="1" applyAlignment="1">
      <alignment horizontal="right" vertical="center"/>
    </xf>
    <xf numFmtId="37" fontId="17" fillId="0" borderId="13" xfId="1" applyNumberFormat="1" applyFont="1" applyBorder="1" applyAlignment="1">
      <alignment horizontal="right" vertical="center"/>
    </xf>
    <xf numFmtId="164" fontId="16" fillId="0" borderId="11" xfId="1" applyNumberFormat="1" applyFont="1" applyFill="1" applyBorder="1" applyAlignment="1" applyProtection="1"/>
    <xf numFmtId="37" fontId="16" fillId="0" borderId="11" xfId="0" applyNumberFormat="1" applyFont="1" applyFill="1" applyBorder="1" applyAlignment="1" applyProtection="1"/>
    <xf numFmtId="0" fontId="16" fillId="0" borderId="0" xfId="0" applyNumberFormat="1" applyFont="1" applyFill="1" applyBorder="1" applyAlignment="1" applyProtection="1">
      <alignment horizontal="center"/>
    </xf>
    <xf numFmtId="164" fontId="16" fillId="0" borderId="14" xfId="1" applyNumberFormat="1" applyFont="1" applyFill="1" applyBorder="1" applyAlignment="1" applyProtection="1"/>
    <xf numFmtId="37" fontId="16" fillId="0" borderId="14" xfId="1" applyNumberFormat="1" applyFont="1" applyFill="1" applyBorder="1" applyAlignment="1" applyProtection="1"/>
    <xf numFmtId="37" fontId="16" fillId="0" borderId="0" xfId="1" applyNumberFormat="1" applyFont="1" applyAlignment="1">
      <alignment horizontal="right" vertical="center"/>
    </xf>
    <xf numFmtId="164" fontId="16" fillId="0" borderId="11" xfId="1" applyNumberFormat="1" applyFont="1" applyBorder="1" applyAlignment="1">
      <alignment horizontal="right" vertical="center"/>
    </xf>
    <xf numFmtId="164" fontId="17" fillId="0" borderId="15" xfId="1" applyNumberFormat="1" applyFont="1" applyBorder="1" applyAlignment="1">
      <alignment horizontal="right" vertical="center"/>
    </xf>
    <xf numFmtId="0" fontId="10" fillId="0" borderId="0" xfId="0" applyNumberFormat="1" applyFont="1" applyFill="1" applyBorder="1" applyAlignment="1" applyProtection="1"/>
    <xf numFmtId="164" fontId="10" fillId="0" borderId="0" xfId="1" applyNumberFormat="1" applyFont="1" applyFill="1" applyBorder="1" applyAlignment="1" applyProtection="1"/>
    <xf numFmtId="3" fontId="17" fillId="0" borderId="0" xfId="0" applyNumberFormat="1" applyFont="1" applyBorder="1" applyAlignment="1">
      <alignment horizontal="right" vertical="center"/>
    </xf>
    <xf numFmtId="37" fontId="17" fillId="0" borderId="0" xfId="0" applyNumberFormat="1" applyFont="1" applyBorder="1" applyAlignment="1">
      <alignment horizontal="right" vertical="center"/>
    </xf>
    <xf numFmtId="3" fontId="17" fillId="0" borderId="16" xfId="0" applyNumberFormat="1" applyFont="1" applyBorder="1" applyAlignment="1">
      <alignment horizontal="right" vertical="center"/>
    </xf>
    <xf numFmtId="37" fontId="17" fillId="0" borderId="16" xfId="0" applyNumberFormat="1" applyFont="1" applyBorder="1" applyAlignment="1">
      <alignment horizontal="right" vertical="center"/>
    </xf>
    <xf numFmtId="3" fontId="16" fillId="0" borderId="13" xfId="0" applyNumberFormat="1" applyFont="1" applyBorder="1" applyAlignment="1">
      <alignment horizontal="right" vertical="center"/>
    </xf>
    <xf numFmtId="37" fontId="16" fillId="0" borderId="13" xfId="0" applyNumberFormat="1" applyFont="1" applyBorder="1" applyAlignment="1">
      <alignment horizontal="right" vertical="center"/>
    </xf>
    <xf numFmtId="37" fontId="17" fillId="0" borderId="0" xfId="0" applyNumberFormat="1" applyFont="1" applyFill="1" applyBorder="1" applyAlignment="1" applyProtection="1"/>
    <xf numFmtId="0" fontId="17" fillId="0" borderId="0" xfId="0" applyFont="1" applyBorder="1" applyAlignment="1">
      <alignment horizontal="center" vertical="center"/>
    </xf>
    <xf numFmtId="0" fontId="17" fillId="0" borderId="17" xfId="0" applyFont="1" applyBorder="1" applyAlignment="1">
      <alignment horizontal="center" vertical="center"/>
    </xf>
    <xf numFmtId="37" fontId="17" fillId="0" borderId="18" xfId="0" applyNumberFormat="1" applyFont="1" applyFill="1" applyBorder="1" applyAlignment="1" applyProtection="1"/>
    <xf numFmtId="0" fontId="15" fillId="0" borderId="0" xfId="0" applyNumberFormat="1" applyFont="1" applyFill="1" applyBorder="1" applyAlignment="1" applyProtection="1">
      <alignment horizontal="center"/>
    </xf>
    <xf numFmtId="0" fontId="17" fillId="0" borderId="17" xfId="0" applyNumberFormat="1" applyFont="1" applyFill="1" applyBorder="1" applyAlignment="1" applyProtection="1">
      <alignment horizontal="center"/>
    </xf>
    <xf numFmtId="164" fontId="17" fillId="0" borderId="11" xfId="1" applyNumberFormat="1" applyFont="1" applyFill="1" applyBorder="1" applyAlignment="1" applyProtection="1"/>
    <xf numFmtId="0" fontId="17" fillId="0" borderId="5" xfId="0" applyFont="1" applyBorder="1" applyAlignment="1">
      <alignment horizontal="center" vertical="center"/>
    </xf>
    <xf numFmtId="0" fontId="17" fillId="0" borderId="9" xfId="0" applyFont="1" applyBorder="1" applyAlignment="1">
      <alignment horizontal="center" vertical="center"/>
    </xf>
    <xf numFmtId="37" fontId="15" fillId="0" borderId="0" xfId="0" applyNumberFormat="1" applyFont="1" applyAlignment="1">
      <alignment horizontal="center" vertical="center"/>
    </xf>
    <xf numFmtId="37" fontId="17" fillId="0" borderId="5" xfId="0" applyNumberFormat="1" applyFont="1" applyBorder="1" applyAlignment="1">
      <alignment horizontal="center" vertical="center"/>
    </xf>
    <xf numFmtId="37" fontId="17" fillId="0" borderId="9" xfId="0" applyNumberFormat="1" applyFont="1" applyBorder="1" applyAlignment="1">
      <alignment horizontal="center" vertical="center"/>
    </xf>
    <xf numFmtId="37" fontId="17" fillId="0" borderId="0" xfId="0" applyNumberFormat="1" applyFont="1" applyBorder="1" applyAlignment="1">
      <alignment horizontal="center" vertical="center"/>
    </xf>
    <xf numFmtId="37" fontId="17" fillId="0" borderId="11" xfId="1" applyNumberFormat="1" applyFont="1" applyFill="1" applyBorder="1" applyAlignment="1" applyProtection="1"/>
    <xf numFmtId="37" fontId="17" fillId="0" borderId="15" xfId="1" applyNumberFormat="1" applyFont="1" applyBorder="1" applyAlignment="1">
      <alignment horizontal="right" vertical="center"/>
    </xf>
    <xf numFmtId="37" fontId="10" fillId="0" borderId="0" xfId="1" applyNumberFormat="1" applyFont="1" applyFill="1" applyBorder="1" applyAlignment="1" applyProtection="1"/>
    <xf numFmtId="37" fontId="17" fillId="0" borderId="5" xfId="0" quotePrefix="1" applyNumberFormat="1" applyFont="1" applyBorder="1" applyAlignment="1">
      <alignment horizontal="center" vertical="center"/>
    </xf>
    <xf numFmtId="37" fontId="17" fillId="0" borderId="11" xfId="0" applyNumberFormat="1" applyFont="1" applyFill="1" applyBorder="1" applyAlignment="1" applyProtection="1"/>
    <xf numFmtId="37" fontId="17" fillId="0" borderId="11" xfId="0" applyNumberFormat="1" applyFont="1" applyBorder="1" applyAlignment="1">
      <alignment horizontal="right" vertical="center"/>
    </xf>
    <xf numFmtId="0" fontId="17" fillId="0" borderId="0" xfId="0" applyFont="1" applyBorder="1" applyAlignment="1">
      <alignment horizontal="left" vertical="center"/>
    </xf>
    <xf numFmtId="37" fontId="17" fillId="0" borderId="0" xfId="1" applyNumberFormat="1" applyFont="1" applyFill="1" applyBorder="1" applyAlignment="1" applyProtection="1"/>
    <xf numFmtId="0" fontId="17" fillId="0" borderId="0" xfId="0" applyNumberFormat="1" applyFont="1" applyFill="1" applyBorder="1" applyAlignment="1" applyProtection="1">
      <alignment horizontal="center"/>
    </xf>
    <xf numFmtId="3" fontId="16" fillId="0" borderId="0" xfId="0" applyNumberFormat="1" applyFont="1" applyBorder="1" applyAlignment="1">
      <alignment horizontal="right" vertical="center"/>
    </xf>
    <xf numFmtId="164" fontId="17" fillId="0" borderId="0" xfId="1" applyNumberFormat="1" applyFont="1" applyBorder="1" applyAlignment="1">
      <alignment horizontal="right" vertical="center"/>
    </xf>
    <xf numFmtId="164" fontId="16" fillId="0" borderId="0" xfId="1" applyNumberFormat="1" applyFont="1" applyBorder="1" applyAlignment="1">
      <alignment horizontal="right" vertical="center"/>
    </xf>
    <xf numFmtId="164" fontId="17" fillId="0" borderId="0" xfId="1" applyNumberFormat="1" applyFont="1" applyFill="1" applyBorder="1" applyAlignment="1" applyProtection="1"/>
    <xf numFmtId="0" fontId="19" fillId="0" borderId="0" xfId="0" applyFont="1" applyAlignment="1">
      <alignment horizontal="center" vertical="center"/>
    </xf>
    <xf numFmtId="0" fontId="20" fillId="0" borderId="0" xfId="0" applyFont="1" applyAlignment="1">
      <alignment horizontal="center" vertical="center"/>
    </xf>
    <xf numFmtId="0" fontId="15" fillId="0" borderId="17" xfId="0" applyNumberFormat="1" applyFont="1" applyFill="1" applyBorder="1" applyAlignment="1" applyProtection="1">
      <alignment horizontal="center"/>
    </xf>
    <xf numFmtId="37" fontId="15" fillId="0" borderId="17" xfId="0" applyNumberFormat="1" applyFont="1" applyFill="1" applyBorder="1" applyAlignment="1" applyProtection="1">
      <alignment horizontal="center"/>
    </xf>
    <xf numFmtId="37" fontId="15" fillId="0" borderId="0" xfId="0" applyNumberFormat="1" applyFont="1" applyFill="1" applyBorder="1" applyAlignment="1" applyProtection="1">
      <alignment horizontal="center"/>
    </xf>
    <xf numFmtId="37" fontId="15" fillId="0" borderId="0" xfId="0" applyNumberFormat="1" applyFont="1" applyFill="1" applyBorder="1" applyAlignment="1" applyProtection="1"/>
    <xf numFmtId="37" fontId="15" fillId="0" borderId="0" xfId="0" quotePrefix="1" applyNumberFormat="1" applyFont="1" applyFill="1" applyBorder="1" applyAlignment="1" applyProtection="1">
      <alignment horizontal="center"/>
    </xf>
    <xf numFmtId="0" fontId="15" fillId="0" borderId="0" xfId="0" applyFont="1" applyBorder="1" applyAlignment="1">
      <alignment horizontal="left" vertical="center"/>
    </xf>
    <xf numFmtId="0" fontId="15" fillId="0" borderId="0" xfId="0" applyNumberFormat="1" applyFont="1" applyFill="1" applyBorder="1" applyAlignment="1" applyProtection="1"/>
    <xf numFmtId="16" fontId="15" fillId="0" borderId="0" xfId="0" quotePrefix="1" applyNumberFormat="1" applyFont="1" applyFill="1" applyBorder="1" applyAlignment="1" applyProtection="1">
      <alignment horizontal="center"/>
    </xf>
    <xf numFmtId="0" fontId="15" fillId="0" borderId="0" xfId="0" quotePrefix="1" applyNumberFormat="1" applyFont="1" applyFill="1" applyBorder="1" applyAlignment="1" applyProtection="1">
      <alignment horizontal="center"/>
    </xf>
    <xf numFmtId="0" fontId="15" fillId="0" borderId="0" xfId="0" applyFont="1" applyAlignment="1">
      <alignment horizontal="left" vertical="center"/>
    </xf>
    <xf numFmtId="0" fontId="31" fillId="0" borderId="0" xfId="2" applyNumberFormat="1" applyFont="1" applyFill="1" applyBorder="1" applyAlignment="1" applyProtection="1"/>
    <xf numFmtId="0" fontId="31" fillId="0" borderId="0" xfId="2" applyFont="1" applyFill="1" applyBorder="1" applyAlignment="1">
      <alignment horizontal="center" vertical="center"/>
    </xf>
    <xf numFmtId="0" fontId="32" fillId="0" borderId="0" xfId="2" applyNumberFormat="1" applyFont="1" applyFill="1" applyBorder="1" applyAlignment="1" applyProtection="1"/>
    <xf numFmtId="37" fontId="9" fillId="0" borderId="0" xfId="2" applyNumberFormat="1" applyFont="1" applyFill="1" applyBorder="1" applyAlignment="1" applyProtection="1"/>
    <xf numFmtId="37" fontId="8" fillId="0" borderId="0" xfId="2" applyNumberFormat="1" applyFont="1" applyFill="1" applyBorder="1" applyAlignment="1" applyProtection="1"/>
    <xf numFmtId="0" fontId="8" fillId="0" borderId="0" xfId="2" applyNumberFormat="1" applyFont="1" applyFill="1" applyBorder="1" applyAlignment="1" applyProtection="1"/>
    <xf numFmtId="0" fontId="9" fillId="0" borderId="0" xfId="2" applyNumberFormat="1" applyFont="1" applyFill="1" applyBorder="1" applyAlignment="1" applyProtection="1"/>
    <xf numFmtId="0" fontId="9" fillId="0" borderId="11" xfId="2" applyNumberFormat="1" applyFont="1" applyFill="1" applyBorder="1" applyAlignment="1" applyProtection="1"/>
    <xf numFmtId="0" fontId="21" fillId="0" borderId="0" xfId="0" applyFont="1" applyAlignment="1">
      <alignment horizontal="center"/>
    </xf>
    <xf numFmtId="0" fontId="23" fillId="0" borderId="0" xfId="0" applyNumberFormat="1" applyFont="1" applyFill="1" applyBorder="1" applyAlignment="1" applyProtection="1"/>
    <xf numFmtId="0" fontId="24" fillId="0" borderId="0" xfId="0" applyNumberFormat="1" applyFont="1" applyFill="1" applyBorder="1" applyAlignment="1" applyProtection="1"/>
    <xf numFmtId="37" fontId="24" fillId="0" borderId="0" xfId="0" applyNumberFormat="1" applyFont="1" applyFill="1" applyBorder="1" applyAlignment="1" applyProtection="1"/>
    <xf numFmtId="0" fontId="25" fillId="0" borderId="0" xfId="0" applyNumberFormat="1" applyFont="1" applyFill="1" applyBorder="1" applyAlignment="1" applyProtection="1"/>
    <xf numFmtId="0" fontId="26" fillId="0" borderId="0" xfId="0" applyFont="1" applyAlignment="1">
      <alignment horizontal="left" vertical="center"/>
    </xf>
    <xf numFmtId="37" fontId="17" fillId="0" borderId="10" xfId="0" applyNumberFormat="1" applyFont="1" applyFill="1" applyBorder="1" applyAlignment="1" applyProtection="1"/>
    <xf numFmtId="0" fontId="27" fillId="0" borderId="0" xfId="0" applyNumberFormat="1" applyFont="1" applyFill="1" applyBorder="1" applyAlignment="1" applyProtection="1"/>
    <xf numFmtId="0" fontId="9" fillId="3" borderId="0" xfId="2" applyNumberFormat="1" applyFont="1" applyFill="1" applyBorder="1" applyAlignment="1" applyProtection="1">
      <alignment horizontal="left"/>
    </xf>
    <xf numFmtId="0" fontId="16" fillId="3" borderId="0" xfId="0" applyNumberFormat="1" applyFont="1" applyFill="1" applyBorder="1" applyAlignment="1" applyProtection="1"/>
    <xf numFmtId="37" fontId="17" fillId="3" borderId="0" xfId="0" applyNumberFormat="1" applyFont="1" applyFill="1" applyBorder="1" applyAlignment="1" applyProtection="1"/>
    <xf numFmtId="37" fontId="16" fillId="3" borderId="0" xfId="0" applyNumberFormat="1" applyFont="1" applyFill="1" applyBorder="1" applyAlignment="1" applyProtection="1"/>
    <xf numFmtId="0" fontId="28" fillId="0" borderId="0" xfId="0" applyFont="1" applyBorder="1" applyAlignment="1">
      <alignment horizontal="center" vertical="center"/>
    </xf>
    <xf numFmtId="0" fontId="29" fillId="0" borderId="0" xfId="0" applyNumberFormat="1" applyFont="1" applyFill="1" applyBorder="1" applyAlignment="1" applyProtection="1"/>
    <xf numFmtId="0" fontId="29" fillId="3" borderId="0" xfId="0" applyNumberFormat="1" applyFont="1" applyFill="1" applyBorder="1" applyAlignment="1" applyProtection="1"/>
    <xf numFmtId="0" fontId="9" fillId="0" borderId="0" xfId="2" applyNumberFormat="1" applyFont="1" applyFill="1" applyBorder="1" applyAlignment="1" applyProtection="1">
      <alignment horizontal="left"/>
    </xf>
    <xf numFmtId="0" fontId="32" fillId="0" borderId="0" xfId="2" applyFont="1" applyFill="1" applyBorder="1" applyAlignment="1" applyProtection="1"/>
    <xf numFmtId="0" fontId="31" fillId="0" borderId="0" xfId="2" applyFont="1" applyFill="1" applyBorder="1" applyAlignment="1" applyProtection="1"/>
    <xf numFmtId="0" fontId="9" fillId="0" borderId="0" xfId="2" applyFont="1" applyFill="1" applyBorder="1" applyAlignment="1" applyProtection="1"/>
    <xf numFmtId="0" fontId="3" fillId="0" borderId="0" xfId="0" applyFont="1" applyAlignment="1">
      <alignment horizontal="center"/>
    </xf>
    <xf numFmtId="0" fontId="19" fillId="0" borderId="0" xfId="0" applyFont="1" applyAlignment="1">
      <alignment horizontal="center" vertical="center"/>
    </xf>
    <xf numFmtId="0" fontId="10" fillId="0" borderId="0" xfId="0" applyFont="1" applyAlignment="1">
      <alignment horizontal="justify" vertical="justify"/>
    </xf>
    <xf numFmtId="0" fontId="5" fillId="0" borderId="0" xfId="0" applyFont="1" applyAlignment="1">
      <alignment horizontal="center" vertical="center"/>
    </xf>
    <xf numFmtId="0" fontId="5" fillId="0" borderId="0" xfId="0" applyFont="1" applyAlignment="1">
      <alignment horizontal="center"/>
    </xf>
    <xf numFmtId="0" fontId="12" fillId="0" borderId="0" xfId="0" applyFont="1" applyAlignment="1">
      <alignment horizontal="center"/>
    </xf>
    <xf numFmtId="0" fontId="6" fillId="0" borderId="0" xfId="0" applyFont="1" applyAlignment="1">
      <alignment horizontal="justify" vertical="justify"/>
    </xf>
    <xf numFmtId="0" fontId="3" fillId="0" borderId="0" xfId="0" applyFont="1" applyAlignment="1">
      <alignment horizontal="center"/>
    </xf>
    <xf numFmtId="0" fontId="17" fillId="0" borderId="19" xfId="0" applyNumberFormat="1" applyFont="1" applyFill="1" applyBorder="1" applyAlignment="1" applyProtection="1">
      <alignment horizontal="center"/>
    </xf>
    <xf numFmtId="0" fontId="17" fillId="0" borderId="14" xfId="0" applyNumberFormat="1" applyFont="1" applyFill="1" applyBorder="1" applyAlignment="1" applyProtection="1">
      <alignment horizontal="center"/>
    </xf>
    <xf numFmtId="0" fontId="17" fillId="0" borderId="20" xfId="0" applyNumberFormat="1" applyFont="1" applyFill="1" applyBorder="1" applyAlignment="1" applyProtection="1">
      <alignment horizontal="center"/>
    </xf>
    <xf numFmtId="0" fontId="15" fillId="0" borderId="0" xfId="0" applyFont="1" applyAlignment="1">
      <alignment horizontal="center" vertical="center"/>
    </xf>
    <xf numFmtId="0" fontId="19" fillId="0" borderId="0" xfId="0" applyFont="1" applyAlignment="1">
      <alignment horizontal="center" vertical="center"/>
    </xf>
    <xf numFmtId="0" fontId="22" fillId="0" borderId="0" xfId="0" applyFont="1" applyAlignment="1">
      <alignment horizontal="center" vertical="center"/>
    </xf>
    <xf numFmtId="0" fontId="21" fillId="0" borderId="0" xfId="0" applyFont="1" applyAlignment="1">
      <alignment horizontal="center"/>
    </xf>
    <xf numFmtId="0" fontId="34" fillId="0" borderId="0" xfId="0" applyNumberFormat="1" applyFont="1" applyFill="1" applyBorder="1" applyAlignment="1" applyProtection="1">
      <alignment horizontal="center"/>
    </xf>
    <xf numFmtId="0" fontId="19" fillId="0" borderId="0" xfId="0" applyNumberFormat="1" applyFont="1" applyFill="1" applyBorder="1" applyAlignment="1" applyProtection="1">
      <alignment horizontal="center"/>
    </xf>
    <xf numFmtId="0" fontId="12" fillId="0" borderId="0" xfId="0" applyNumberFormat="1" applyFont="1" applyFill="1" applyBorder="1" applyAlignment="1" applyProtection="1">
      <alignment horizontal="center"/>
    </xf>
    <xf numFmtId="0" fontId="16" fillId="4" borderId="0" xfId="0" applyNumberFormat="1" applyFont="1" applyFill="1" applyBorder="1" applyAlignment="1" applyProtection="1"/>
    <xf numFmtId="0" fontId="21" fillId="4" borderId="0" xfId="0" applyFont="1" applyFill="1" applyBorder="1" applyAlignment="1">
      <alignment horizontal="center"/>
    </xf>
    <xf numFmtId="0" fontId="9" fillId="4" borderId="0" xfId="2" applyNumberFormat="1" applyFont="1" applyFill="1" applyBorder="1" applyAlignment="1" applyProtection="1">
      <alignment horizontal="left"/>
    </xf>
    <xf numFmtId="0" fontId="17" fillId="4" borderId="0" xfId="0" applyFont="1" applyFill="1" applyBorder="1" applyAlignment="1">
      <alignment horizontal="center" vertical="center"/>
    </xf>
    <xf numFmtId="37" fontId="17" fillId="4" borderId="0" xfId="0" applyNumberFormat="1" applyFont="1" applyFill="1" applyBorder="1" applyAlignment="1" applyProtection="1"/>
    <xf numFmtId="0" fontId="16" fillId="0" borderId="0" xfId="0" applyFont="1" applyBorder="1" applyAlignment="1">
      <alignment horizontal="left" vertical="center"/>
    </xf>
    <xf numFmtId="37" fontId="9" fillId="4" borderId="0" xfId="0" applyNumberFormat="1" applyFont="1" applyFill="1" applyBorder="1" applyAlignment="1" applyProtection="1"/>
    <xf numFmtId="37" fontId="16" fillId="4" borderId="0" xfId="0" applyNumberFormat="1" applyFont="1" applyFill="1" applyBorder="1" applyAlignment="1" applyProtection="1"/>
    <xf numFmtId="37" fontId="8" fillId="4" borderId="0" xfId="2" applyNumberFormat="1" applyFont="1" applyFill="1" applyBorder="1" applyAlignment="1" applyProtection="1"/>
    <xf numFmtId="37" fontId="17" fillId="0" borderId="14" xfId="0" applyNumberFormat="1" applyFont="1" applyFill="1" applyBorder="1" applyAlignment="1" applyProtection="1"/>
    <xf numFmtId="37" fontId="9" fillId="4" borderId="0" xfId="2" applyNumberFormat="1" applyFont="1" applyFill="1" applyBorder="1" applyAlignment="1" applyProtection="1"/>
    <xf numFmtId="0" fontId="31" fillId="4" borderId="0" xfId="2" applyNumberFormat="1" applyFont="1" applyFill="1" applyBorder="1" applyAlignment="1" applyProtection="1"/>
    <xf numFmtId="37" fontId="16" fillId="4" borderId="0" xfId="1" applyNumberFormat="1" applyFont="1" applyFill="1" applyBorder="1" applyAlignment="1" applyProtection="1"/>
    <xf numFmtId="37" fontId="17" fillId="0" borderId="14" xfId="1" applyNumberFormat="1" applyFont="1" applyFill="1" applyBorder="1" applyAlignment="1" applyProtection="1"/>
    <xf numFmtId="37" fontId="17" fillId="4" borderId="0" xfId="1" applyNumberFormat="1" applyFont="1" applyFill="1" applyBorder="1" applyAlignment="1" applyProtection="1"/>
    <xf numFmtId="3" fontId="16" fillId="4" borderId="0" xfId="0" applyNumberFormat="1" applyFont="1" applyFill="1" applyBorder="1" applyAlignment="1">
      <alignment horizontal="right" vertical="center"/>
    </xf>
    <xf numFmtId="0" fontId="16" fillId="0" borderId="21" xfId="0" applyNumberFormat="1" applyFont="1" applyFill="1" applyBorder="1" applyAlignment="1" applyProtection="1">
      <alignment horizontal="center"/>
    </xf>
    <xf numFmtId="0" fontId="16" fillId="0" borderId="22" xfId="0" applyNumberFormat="1" applyFont="1" applyFill="1" applyBorder="1" applyAlignment="1" applyProtection="1">
      <alignment horizontal="left"/>
    </xf>
    <xf numFmtId="37" fontId="16" fillId="0" borderId="23" xfId="1" applyNumberFormat="1" applyFont="1" applyFill="1" applyBorder="1" applyAlignment="1" applyProtection="1"/>
    <xf numFmtId="0" fontId="16" fillId="0" borderId="24" xfId="0" applyNumberFormat="1" applyFont="1" applyFill="1" applyBorder="1" applyAlignment="1" applyProtection="1">
      <alignment horizontal="center"/>
    </xf>
    <xf numFmtId="0" fontId="16" fillId="0" borderId="25" xfId="0" applyNumberFormat="1" applyFont="1" applyFill="1" applyBorder="1" applyAlignment="1" applyProtection="1">
      <alignment horizontal="left"/>
    </xf>
    <xf numFmtId="37" fontId="16" fillId="0" borderId="26" xfId="1" applyNumberFormat="1" applyFont="1" applyFill="1" applyBorder="1" applyAlignment="1" applyProtection="1"/>
    <xf numFmtId="0" fontId="16" fillId="0" borderId="0" xfId="0" applyNumberFormat="1" applyFont="1" applyFill="1" applyBorder="1" applyAlignment="1" applyProtection="1">
      <alignment horizontal="left"/>
    </xf>
    <xf numFmtId="10" fontId="16" fillId="0" borderId="0" xfId="3" applyNumberFormat="1" applyFont="1" applyFill="1" applyBorder="1" applyAlignment="1" applyProtection="1"/>
    <xf numFmtId="0" fontId="17" fillId="0" borderId="0" xfId="0" applyNumberFormat="1" applyFont="1" applyFill="1" applyBorder="1" applyAlignment="1" applyProtection="1">
      <alignment horizontal="left"/>
    </xf>
    <xf numFmtId="37" fontId="17" fillId="4" borderId="14" xfId="1" applyNumberFormat="1" applyFont="1" applyFill="1" applyBorder="1" applyAlignment="1" applyProtection="1"/>
    <xf numFmtId="37" fontId="31" fillId="4" borderId="0" xfId="2" applyNumberFormat="1" applyFont="1" applyFill="1" applyBorder="1" applyAlignment="1" applyProtection="1"/>
    <xf numFmtId="37" fontId="31" fillId="0" borderId="0" xfId="2" applyNumberFormat="1" applyFont="1" applyFill="1" applyBorder="1" applyAlignment="1" applyProtection="1"/>
    <xf numFmtId="0" fontId="16" fillId="0" borderId="22" xfId="0" applyFont="1" applyBorder="1" applyAlignment="1">
      <alignment horizontal="left" vertical="center"/>
    </xf>
    <xf numFmtId="0" fontId="16" fillId="0" borderId="25" xfId="0" applyFont="1" applyBorder="1" applyAlignment="1">
      <alignment horizontal="left" vertical="center"/>
    </xf>
    <xf numFmtId="37" fontId="17" fillId="4" borderId="14" xfId="0" applyNumberFormat="1" applyFont="1" applyFill="1" applyBorder="1" applyAlignment="1" applyProtection="1"/>
    <xf numFmtId="0" fontId="35" fillId="0" borderId="0" xfId="0" applyFont="1" applyAlignment="1">
      <alignment horizontal="center"/>
    </xf>
    <xf numFmtId="3" fontId="36" fillId="0" borderId="0" xfId="0" applyNumberFormat="1" applyFont="1" applyBorder="1" applyAlignment="1">
      <alignment horizontal="left" vertical="top"/>
    </xf>
    <xf numFmtId="3" fontId="36" fillId="0" borderId="0" xfId="0" applyNumberFormat="1" applyFont="1" applyBorder="1" applyAlignment="1">
      <alignment horizontal="center"/>
    </xf>
    <xf numFmtId="0" fontId="36" fillId="0" borderId="0" xfId="0" applyNumberFormat="1" applyFont="1" applyFill="1" applyBorder="1" applyAlignment="1">
      <alignment horizontal="center"/>
    </xf>
    <xf numFmtId="0" fontId="36" fillId="0" borderId="0" xfId="0" applyFont="1" applyBorder="1" applyAlignment="1">
      <alignment horizontal="center"/>
    </xf>
    <xf numFmtId="165" fontId="36" fillId="0" borderId="0" xfId="0" applyNumberFormat="1" applyFont="1" applyFill="1" applyBorder="1" applyAlignment="1">
      <alignment horizontal="center"/>
    </xf>
    <xf numFmtId="0" fontId="3" fillId="0" borderId="0" xfId="0" applyFont="1" applyBorder="1" applyAlignment="1">
      <alignment horizontal="center"/>
    </xf>
    <xf numFmtId="0" fontId="7" fillId="0" borderId="0" xfId="0" applyFont="1" applyBorder="1" applyAlignment="1">
      <alignment horizontal="center"/>
    </xf>
    <xf numFmtId="0" fontId="7" fillId="0" borderId="0" xfId="0" applyFont="1"/>
    <xf numFmtId="164" fontId="7" fillId="0" borderId="0" xfId="1" applyNumberFormat="1" applyFont="1" applyBorder="1"/>
    <xf numFmtId="166" fontId="3" fillId="0" borderId="0" xfId="3" applyNumberFormat="1" applyFont="1"/>
    <xf numFmtId="0" fontId="0" fillId="0" borderId="0" xfId="0" applyBorder="1"/>
    <xf numFmtId="0" fontId="19" fillId="0" borderId="0" xfId="0" applyFont="1"/>
    <xf numFmtId="37" fontId="19" fillId="0" borderId="0" xfId="1" applyNumberFormat="1" applyFont="1"/>
    <xf numFmtId="0" fontId="37" fillId="0" borderId="0" xfId="0" applyFont="1"/>
    <xf numFmtId="37" fontId="37" fillId="0" borderId="0" xfId="1" applyNumberFormat="1" applyFont="1"/>
    <xf numFmtId="0" fontId="38" fillId="0" borderId="0" xfId="0" applyFont="1"/>
    <xf numFmtId="37" fontId="38" fillId="0" borderId="0" xfId="1" applyNumberFormat="1" applyFont="1"/>
    <xf numFmtId="0" fontId="39" fillId="0" borderId="0" xfId="0" applyFont="1"/>
    <xf numFmtId="37" fontId="39" fillId="0" borderId="0" xfId="1" applyNumberFormat="1" applyFont="1"/>
    <xf numFmtId="0" fontId="40" fillId="0" borderId="0" xfId="0" applyFont="1" applyAlignment="1">
      <alignment horizontal="center"/>
    </xf>
    <xf numFmtId="0" fontId="41" fillId="0" borderId="0" xfId="0" applyFont="1"/>
    <xf numFmtId="0" fontId="35" fillId="0" borderId="0" xfId="0" applyFont="1" applyAlignment="1">
      <alignment horizontal="center"/>
    </xf>
    <xf numFmtId="0" fontId="42" fillId="0" borderId="0" xfId="0" applyFont="1" applyAlignment="1">
      <alignment horizontal="center"/>
    </xf>
    <xf numFmtId="0" fontId="42" fillId="0" borderId="0" xfId="0" applyFont="1" applyAlignment="1">
      <alignment horizontal="center"/>
    </xf>
    <xf numFmtId="17" fontId="9" fillId="0" borderId="0" xfId="0" applyNumberFormat="1" applyFont="1" applyBorder="1" applyAlignment="1">
      <alignment horizontal="center"/>
    </xf>
    <xf numFmtId="0" fontId="9" fillId="0" borderId="3" xfId="0" applyFont="1" applyBorder="1" applyAlignment="1">
      <alignment horizontal="center"/>
    </xf>
    <xf numFmtId="0" fontId="33" fillId="0" borderId="10" xfId="0" applyFont="1" applyBorder="1" applyAlignment="1">
      <alignment horizontal="center"/>
    </xf>
    <xf numFmtId="0" fontId="33" fillId="0" borderId="4" xfId="0" applyFont="1" applyBorder="1" applyAlignment="1">
      <alignment horizontal="center"/>
    </xf>
    <xf numFmtId="0" fontId="0" fillId="0" borderId="0" xfId="0" applyFont="1" applyBorder="1"/>
    <xf numFmtId="0" fontId="9" fillId="0" borderId="21" xfId="0" applyFont="1" applyBorder="1" applyAlignment="1">
      <alignment horizontal="center"/>
    </xf>
    <xf numFmtId="0" fontId="33" fillId="0" borderId="27" xfId="0" applyFont="1" applyBorder="1" applyAlignment="1">
      <alignment horizontal="center"/>
    </xf>
    <xf numFmtId="0" fontId="0" fillId="0" borderId="27" xfId="0" applyFont="1" applyFill="1" applyBorder="1"/>
    <xf numFmtId="0" fontId="9" fillId="0" borderId="27" xfId="0" applyFont="1" applyBorder="1" applyAlignment="1">
      <alignment horizontal="center"/>
    </xf>
    <xf numFmtId="0" fontId="33" fillId="0" borderId="22" xfId="0" applyFont="1" applyBorder="1" applyAlignment="1">
      <alignment horizontal="center"/>
    </xf>
    <xf numFmtId="0" fontId="0" fillId="0" borderId="0" xfId="0" applyFont="1"/>
    <xf numFmtId="0" fontId="9" fillId="0" borderId="0" xfId="0" applyFont="1" applyBorder="1" applyAlignment="1">
      <alignment horizontal="center"/>
    </xf>
    <xf numFmtId="0" fontId="9" fillId="0" borderId="1" xfId="0" applyFont="1" applyBorder="1" applyAlignment="1">
      <alignment horizontal="center"/>
    </xf>
    <xf numFmtId="17" fontId="9" fillId="0" borderId="6" xfId="0" applyNumberFormat="1" applyFont="1" applyBorder="1" applyAlignment="1">
      <alignment horizontal="center"/>
    </xf>
    <xf numFmtId="0" fontId="9" fillId="0" borderId="28" xfId="0" applyFont="1" applyBorder="1" applyAlignment="1">
      <alignment horizontal="center"/>
    </xf>
    <xf numFmtId="0" fontId="0" fillId="0" borderId="0" xfId="0" applyFont="1" applyFill="1" applyBorder="1"/>
    <xf numFmtId="17" fontId="9" fillId="0" borderId="29" xfId="0" applyNumberFormat="1" applyFont="1" applyBorder="1" applyAlignment="1">
      <alignment horizontal="center"/>
    </xf>
    <xf numFmtId="0" fontId="9" fillId="0" borderId="1" xfId="0" quotePrefix="1" applyFont="1" applyBorder="1" applyAlignment="1">
      <alignment horizontal="center"/>
    </xf>
    <xf numFmtId="0" fontId="0" fillId="0" borderId="6" xfId="0" applyFont="1" applyBorder="1"/>
    <xf numFmtId="0" fontId="9" fillId="0" borderId="28" xfId="0" quotePrefix="1" applyFont="1" applyBorder="1" applyAlignment="1">
      <alignment horizontal="center"/>
    </xf>
    <xf numFmtId="0" fontId="9" fillId="0" borderId="0" xfId="0" quotePrefix="1" applyFont="1" applyBorder="1" applyAlignment="1">
      <alignment horizontal="center"/>
    </xf>
    <xf numFmtId="0" fontId="0" fillId="0" borderId="29" xfId="0" applyFont="1" applyBorder="1"/>
    <xf numFmtId="37" fontId="43" fillId="0" borderId="1" xfId="0" applyNumberFormat="1" applyFont="1" applyBorder="1"/>
    <xf numFmtId="16" fontId="8" fillId="0" borderId="0" xfId="0" quotePrefix="1" applyNumberFormat="1" applyFont="1" applyBorder="1" applyAlignment="1">
      <alignment horizontal="center"/>
    </xf>
    <xf numFmtId="37" fontId="8" fillId="0" borderId="6" xfId="0" applyNumberFormat="1" applyFont="1" applyBorder="1"/>
    <xf numFmtId="1" fontId="8" fillId="0" borderId="0" xfId="0" quotePrefix="1" applyNumberFormat="1" applyFont="1" applyBorder="1" applyAlignment="1">
      <alignment horizontal="center"/>
    </xf>
    <xf numFmtId="37" fontId="43" fillId="0" borderId="28" xfId="0" applyNumberFormat="1" applyFont="1" applyBorder="1"/>
    <xf numFmtId="37" fontId="8" fillId="0" borderId="0" xfId="0" applyNumberFormat="1" applyFont="1" applyBorder="1"/>
    <xf numFmtId="37" fontId="43" fillId="0" borderId="0" xfId="0" applyNumberFormat="1" applyFont="1" applyBorder="1"/>
    <xf numFmtId="0" fontId="8" fillId="0" borderId="0" xfId="0" applyFont="1" applyBorder="1" applyAlignment="1">
      <alignment horizontal="center"/>
    </xf>
    <xf numFmtId="37" fontId="8" fillId="0" borderId="29" xfId="0" quotePrefix="1" applyNumberFormat="1" applyFont="1" applyBorder="1" applyAlignment="1"/>
    <xf numFmtId="0" fontId="3" fillId="0" borderId="0" xfId="0" quotePrefix="1" applyFont="1"/>
    <xf numFmtId="37" fontId="8" fillId="0" borderId="1" xfId="0" applyNumberFormat="1" applyFont="1" applyBorder="1" applyAlignment="1">
      <alignment horizontal="right"/>
    </xf>
    <xf numFmtId="37" fontId="8" fillId="0" borderId="28" xfId="0" applyNumberFormat="1" applyFont="1" applyBorder="1" applyAlignment="1">
      <alignment horizontal="right"/>
    </xf>
    <xf numFmtId="37" fontId="8" fillId="0" borderId="0" xfId="0" applyNumberFormat="1" applyFont="1" applyBorder="1" applyAlignment="1">
      <alignment horizontal="right"/>
    </xf>
    <xf numFmtId="37" fontId="8" fillId="0" borderId="29" xfId="0" applyNumberFormat="1" applyFont="1" applyBorder="1"/>
    <xf numFmtId="0" fontId="0" fillId="0" borderId="1" xfId="0" applyFont="1" applyBorder="1"/>
    <xf numFmtId="0" fontId="0" fillId="0" borderId="28" xfId="0" applyFont="1" applyBorder="1"/>
    <xf numFmtId="0" fontId="44" fillId="0" borderId="0" xfId="0" applyFont="1"/>
    <xf numFmtId="0" fontId="3" fillId="0" borderId="0" xfId="0" applyFont="1" applyAlignment="1">
      <alignment horizontal="left"/>
    </xf>
    <xf numFmtId="2" fontId="9" fillId="0" borderId="0" xfId="0" applyNumberFormat="1" applyFont="1" applyBorder="1"/>
    <xf numFmtId="37" fontId="9" fillId="0" borderId="2" xfId="0" applyNumberFormat="1" applyFont="1" applyBorder="1"/>
    <xf numFmtId="1" fontId="9" fillId="0" borderId="11" xfId="0" quotePrefix="1" applyNumberFormat="1" applyFont="1" applyBorder="1" applyAlignment="1">
      <alignment horizontal="center"/>
    </xf>
    <xf numFmtId="1" fontId="9" fillId="0" borderId="8" xfId="0" applyNumberFormat="1" applyFont="1" applyBorder="1"/>
    <xf numFmtId="2" fontId="0" fillId="0" borderId="0" xfId="0" applyNumberFormat="1" applyFont="1" applyBorder="1"/>
    <xf numFmtId="37" fontId="9" fillId="0" borderId="24" xfId="0" applyNumberFormat="1" applyFont="1" applyBorder="1"/>
    <xf numFmtId="1" fontId="9" fillId="0" borderId="30" xfId="0" quotePrefix="1" applyNumberFormat="1" applyFont="1" applyBorder="1" applyAlignment="1">
      <alignment horizontal="center"/>
    </xf>
    <xf numFmtId="1" fontId="9" fillId="0" borderId="30" xfId="0" applyNumberFormat="1" applyFont="1" applyBorder="1"/>
    <xf numFmtId="2" fontId="0" fillId="0" borderId="30" xfId="0" applyNumberFormat="1" applyFont="1" applyFill="1" applyBorder="1"/>
    <xf numFmtId="37" fontId="9" fillId="0" borderId="30" xfId="0" applyNumberFormat="1" applyFont="1" applyBorder="1"/>
    <xf numFmtId="1" fontId="9" fillId="0" borderId="25" xfId="0" quotePrefix="1" applyNumberFormat="1" applyFont="1" applyBorder="1" applyAlignment="1">
      <alignment horizontal="center"/>
    </xf>
    <xf numFmtId="1" fontId="9" fillId="0" borderId="11" xfId="0" applyNumberFormat="1" applyFont="1" applyBorder="1"/>
    <xf numFmtId="37" fontId="9" fillId="0" borderId="0" xfId="0" applyNumberFormat="1" applyFont="1" applyBorder="1"/>
    <xf numFmtId="37" fontId="45" fillId="0" borderId="0" xfId="0" applyNumberFormat="1" applyFont="1" applyBorder="1"/>
    <xf numFmtId="166" fontId="45" fillId="0" borderId="0" xfId="0" applyNumberFormat="1" applyFont="1" applyBorder="1"/>
    <xf numFmtId="166" fontId="45" fillId="0" borderId="0" xfId="0" applyNumberFormat="1" applyFont="1"/>
    <xf numFmtId="0" fontId="35" fillId="0" borderId="0" xfId="0" applyFont="1" applyBorder="1" applyAlignment="1">
      <alignment horizontal="center"/>
    </xf>
    <xf numFmtId="0" fontId="35" fillId="0" borderId="0" xfId="0" applyFont="1" applyBorder="1" applyAlignment="1">
      <alignment horizontal="center"/>
    </xf>
    <xf numFmtId="0" fontId="7" fillId="0" borderId="0" xfId="0" applyFont="1" applyBorder="1" applyAlignment="1">
      <alignment horizontal="left"/>
    </xf>
    <xf numFmtId="0" fontId="21" fillId="0" borderId="0" xfId="0" applyFont="1" applyBorder="1" applyAlignment="1">
      <alignment horizontal="center"/>
    </xf>
    <xf numFmtId="37" fontId="3" fillId="0" borderId="0" xfId="0" applyNumberFormat="1" applyFont="1" applyBorder="1" applyAlignment="1">
      <alignment horizontal="center"/>
    </xf>
    <xf numFmtId="37" fontId="3" fillId="0" borderId="0" xfId="0" applyNumberFormat="1" applyFont="1" applyBorder="1" applyAlignment="1">
      <alignment horizontal="center"/>
    </xf>
    <xf numFmtId="9" fontId="3" fillId="0" borderId="0" xfId="0" applyNumberFormat="1" applyFont="1" applyBorder="1" applyAlignment="1">
      <alignment horizontal="center"/>
    </xf>
    <xf numFmtId="0" fontId="9" fillId="0" borderId="0" xfId="0" applyFont="1" applyBorder="1" applyAlignment="1">
      <alignment horizontal="center" wrapText="1"/>
    </xf>
    <xf numFmtId="37" fontId="9" fillId="0" borderId="0" xfId="0" applyNumberFormat="1" applyFont="1" applyAlignment="1">
      <alignment horizontal="center"/>
    </xf>
    <xf numFmtId="37" fontId="9" fillId="0" borderId="0" xfId="0" applyNumberFormat="1" applyFont="1" applyBorder="1" applyAlignment="1">
      <alignment horizontal="center"/>
    </xf>
    <xf numFmtId="9" fontId="7" fillId="0" borderId="0" xfId="0" applyNumberFormat="1" applyFont="1" applyBorder="1" applyAlignment="1">
      <alignment horizontal="center"/>
    </xf>
    <xf numFmtId="0" fontId="7" fillId="0" borderId="0" xfId="0" applyFont="1" applyBorder="1" applyAlignment="1">
      <alignment horizontal="center" wrapText="1"/>
    </xf>
    <xf numFmtId="0" fontId="7" fillId="0" borderId="11" xfId="0" applyFont="1" applyBorder="1" applyAlignment="1">
      <alignment horizontal="center" wrapText="1"/>
    </xf>
    <xf numFmtId="37" fontId="7" fillId="0" borderId="0" xfId="0" applyNumberFormat="1" applyFont="1" applyBorder="1" applyAlignment="1">
      <alignment horizontal="center" wrapText="1"/>
    </xf>
    <xf numFmtId="9" fontId="4" fillId="0" borderId="0" xfId="0" applyNumberFormat="1" applyFont="1" applyBorder="1" applyAlignment="1">
      <alignment horizontal="center"/>
    </xf>
    <xf numFmtId="0" fontId="4" fillId="0" borderId="3" xfId="0" applyFont="1" applyBorder="1" applyAlignment="1">
      <alignment horizontal="center"/>
    </xf>
    <xf numFmtId="37" fontId="4" fillId="0" borderId="4" xfId="0" applyNumberFormat="1" applyFont="1" applyBorder="1" applyAlignment="1">
      <alignment horizontal="right"/>
    </xf>
    <xf numFmtId="0" fontId="4" fillId="0" borderId="0" xfId="0" applyFont="1" applyBorder="1" applyAlignment="1">
      <alignment horizontal="center"/>
    </xf>
    <xf numFmtId="37" fontId="4" fillId="0" borderId="0" xfId="0" applyNumberFormat="1" applyFont="1" applyBorder="1" applyAlignment="1">
      <alignment horizontal="right"/>
    </xf>
    <xf numFmtId="0" fontId="4" fillId="0" borderId="1" xfId="0" applyFont="1" applyBorder="1" applyAlignment="1">
      <alignment horizontal="center"/>
    </xf>
    <xf numFmtId="37" fontId="4" fillId="0" borderId="6" xfId="0" applyNumberFormat="1" applyFont="1" applyBorder="1" applyAlignment="1">
      <alignment horizontal="right"/>
    </xf>
    <xf numFmtId="37" fontId="3" fillId="0" borderId="0" xfId="0" applyNumberFormat="1" applyFont="1" applyBorder="1" applyAlignment="1">
      <alignment horizontal="right"/>
    </xf>
    <xf numFmtId="0" fontId="3" fillId="0" borderId="2" xfId="0" applyFont="1" applyBorder="1" applyAlignment="1">
      <alignment horizontal="center"/>
    </xf>
    <xf numFmtId="9" fontId="3" fillId="0" borderId="11" xfId="0" applyNumberFormat="1" applyFont="1" applyBorder="1" applyAlignment="1">
      <alignment horizontal="center"/>
    </xf>
    <xf numFmtId="37" fontId="3" fillId="0" borderId="8" xfId="0" applyNumberFormat="1" applyFont="1" applyBorder="1" applyAlignment="1">
      <alignment horizontal="right"/>
    </xf>
    <xf numFmtId="37" fontId="0" fillId="0" borderId="0" xfId="0" applyNumberFormat="1" applyAlignment="1">
      <alignment horizontal="right"/>
    </xf>
    <xf numFmtId="9" fontId="3" fillId="0" borderId="10" xfId="0" applyNumberFormat="1" applyFont="1" applyBorder="1" applyAlignment="1">
      <alignment horizontal="center"/>
    </xf>
    <xf numFmtId="0" fontId="35" fillId="0" borderId="0" xfId="0" applyFont="1" applyAlignment="1"/>
    <xf numFmtId="0" fontId="35" fillId="0" borderId="0" xfId="0" applyFont="1" applyBorder="1" applyAlignment="1"/>
  </cellXfs>
  <cellStyles count="4">
    <cellStyle name="Comma" xfId="1" builtinId="3"/>
    <cellStyle name="Good" xfId="2" builtinId="26"/>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19050</xdr:colOff>
      <xdr:row>38</xdr:row>
      <xdr:rowOff>9525</xdr:rowOff>
    </xdr:from>
    <xdr:to>
      <xdr:col>3</xdr:col>
      <xdr:colOff>95250</xdr:colOff>
      <xdr:row>42</xdr:row>
      <xdr:rowOff>0</xdr:rowOff>
    </xdr:to>
    <xdr:sp macro="" textlink="">
      <xdr:nvSpPr>
        <xdr:cNvPr id="53464" name="AutoShape 1"/>
        <xdr:cNvSpPr>
          <a:spLocks/>
        </xdr:cNvSpPr>
      </xdr:nvSpPr>
      <xdr:spPr bwMode="auto">
        <a:xfrm>
          <a:off x="1847850" y="5981700"/>
          <a:ext cx="76200" cy="619125"/>
        </a:xfrm>
        <a:prstGeom prst="leftBrace">
          <a:avLst>
            <a:gd name="adj1" fmla="val 677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600075</xdr:colOff>
      <xdr:row>28</xdr:row>
      <xdr:rowOff>0</xdr:rowOff>
    </xdr:from>
    <xdr:to>
      <xdr:col>3</xdr:col>
      <xdr:colOff>152400</xdr:colOff>
      <xdr:row>36</xdr:row>
      <xdr:rowOff>0</xdr:rowOff>
    </xdr:to>
    <xdr:sp macro="" textlink="">
      <xdr:nvSpPr>
        <xdr:cNvPr id="53465" name="AutoShape 2"/>
        <xdr:cNvSpPr>
          <a:spLocks/>
        </xdr:cNvSpPr>
      </xdr:nvSpPr>
      <xdr:spPr bwMode="auto">
        <a:xfrm>
          <a:off x="1819275" y="4400550"/>
          <a:ext cx="161925" cy="1257300"/>
        </a:xfrm>
        <a:prstGeom prst="leftBrace">
          <a:avLst>
            <a:gd name="adj1" fmla="val 6470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28575</xdr:colOff>
      <xdr:row>22</xdr:row>
      <xdr:rowOff>28575</xdr:rowOff>
    </xdr:from>
    <xdr:to>
      <xdr:col>3</xdr:col>
      <xdr:colOff>114300</xdr:colOff>
      <xdr:row>25</xdr:row>
      <xdr:rowOff>147638</xdr:rowOff>
    </xdr:to>
    <xdr:sp macro="" textlink="">
      <xdr:nvSpPr>
        <xdr:cNvPr id="53466" name="AutoShape 3"/>
        <xdr:cNvSpPr>
          <a:spLocks/>
        </xdr:cNvSpPr>
      </xdr:nvSpPr>
      <xdr:spPr bwMode="auto">
        <a:xfrm>
          <a:off x="1857375" y="3486150"/>
          <a:ext cx="85725" cy="590550"/>
        </a:xfrm>
        <a:prstGeom prst="leftBrace">
          <a:avLst>
            <a:gd name="adj1" fmla="val 5740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19050</xdr:colOff>
      <xdr:row>16</xdr:row>
      <xdr:rowOff>28575</xdr:rowOff>
    </xdr:from>
    <xdr:to>
      <xdr:col>3</xdr:col>
      <xdr:colOff>133350</xdr:colOff>
      <xdr:row>19</xdr:row>
      <xdr:rowOff>138113</xdr:rowOff>
    </xdr:to>
    <xdr:sp macro="" textlink="">
      <xdr:nvSpPr>
        <xdr:cNvPr id="53467" name="AutoShape 4"/>
        <xdr:cNvSpPr>
          <a:spLocks/>
        </xdr:cNvSpPr>
      </xdr:nvSpPr>
      <xdr:spPr bwMode="auto">
        <a:xfrm>
          <a:off x="1847850" y="2543175"/>
          <a:ext cx="114300" cy="581025"/>
        </a:xfrm>
        <a:prstGeom prst="leftBrace">
          <a:avLst>
            <a:gd name="adj1" fmla="val 4236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3</xdr:row>
      <xdr:rowOff>19050</xdr:rowOff>
    </xdr:from>
    <xdr:to>
      <xdr:col>3</xdr:col>
      <xdr:colOff>142875</xdr:colOff>
      <xdr:row>14</xdr:row>
      <xdr:rowOff>0</xdr:rowOff>
    </xdr:to>
    <xdr:sp macro="" textlink="">
      <xdr:nvSpPr>
        <xdr:cNvPr id="53468" name="AutoShape 5"/>
        <xdr:cNvSpPr>
          <a:spLocks/>
        </xdr:cNvSpPr>
      </xdr:nvSpPr>
      <xdr:spPr bwMode="auto">
        <a:xfrm>
          <a:off x="1828800" y="490538"/>
          <a:ext cx="142875" cy="1709737"/>
        </a:xfrm>
        <a:prstGeom prst="leftBrace">
          <a:avLst>
            <a:gd name="adj1" fmla="val 997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44</xdr:row>
      <xdr:rowOff>28575</xdr:rowOff>
    </xdr:from>
    <xdr:to>
      <xdr:col>3</xdr:col>
      <xdr:colOff>133350</xdr:colOff>
      <xdr:row>51</xdr:row>
      <xdr:rowOff>119063</xdr:rowOff>
    </xdr:to>
    <xdr:sp macro="" textlink="">
      <xdr:nvSpPr>
        <xdr:cNvPr id="53469" name="AutoShape 6"/>
        <xdr:cNvSpPr>
          <a:spLocks/>
        </xdr:cNvSpPr>
      </xdr:nvSpPr>
      <xdr:spPr bwMode="auto">
        <a:xfrm>
          <a:off x="1876425" y="6943725"/>
          <a:ext cx="85725" cy="1190625"/>
        </a:xfrm>
        <a:prstGeom prst="leftBrace">
          <a:avLst>
            <a:gd name="adj1" fmla="val 11574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9525</xdr:colOff>
      <xdr:row>57</xdr:row>
      <xdr:rowOff>38100</xdr:rowOff>
    </xdr:from>
    <xdr:to>
      <xdr:col>3</xdr:col>
      <xdr:colOff>142875</xdr:colOff>
      <xdr:row>61</xdr:row>
      <xdr:rowOff>128588</xdr:rowOff>
    </xdr:to>
    <xdr:sp macro="" textlink="">
      <xdr:nvSpPr>
        <xdr:cNvPr id="53470" name="AutoShape 7"/>
        <xdr:cNvSpPr>
          <a:spLocks/>
        </xdr:cNvSpPr>
      </xdr:nvSpPr>
      <xdr:spPr bwMode="auto">
        <a:xfrm>
          <a:off x="1838325" y="8996363"/>
          <a:ext cx="133350" cy="728662"/>
        </a:xfrm>
        <a:prstGeom prst="leftBrace">
          <a:avLst>
            <a:gd name="adj1" fmla="val 4553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9525</xdr:colOff>
      <xdr:row>64</xdr:row>
      <xdr:rowOff>28575</xdr:rowOff>
    </xdr:from>
    <xdr:to>
      <xdr:col>3</xdr:col>
      <xdr:colOff>85725</xdr:colOff>
      <xdr:row>69</xdr:row>
      <xdr:rowOff>9525</xdr:rowOff>
    </xdr:to>
    <xdr:sp macro="" textlink="">
      <xdr:nvSpPr>
        <xdr:cNvPr id="53471" name="AutoShape 8"/>
        <xdr:cNvSpPr>
          <a:spLocks/>
        </xdr:cNvSpPr>
      </xdr:nvSpPr>
      <xdr:spPr bwMode="auto">
        <a:xfrm>
          <a:off x="1838325" y="10096500"/>
          <a:ext cx="76200" cy="776288"/>
        </a:xfrm>
        <a:prstGeom prst="leftBrace">
          <a:avLst>
            <a:gd name="adj1" fmla="val 8489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71</xdr:row>
      <xdr:rowOff>19050</xdr:rowOff>
    </xdr:from>
    <xdr:to>
      <xdr:col>3</xdr:col>
      <xdr:colOff>76200</xdr:colOff>
      <xdr:row>74</xdr:row>
      <xdr:rowOff>147638</xdr:rowOff>
    </xdr:to>
    <xdr:sp macro="" textlink="">
      <xdr:nvSpPr>
        <xdr:cNvPr id="53472" name="AutoShape 9"/>
        <xdr:cNvSpPr>
          <a:spLocks/>
        </xdr:cNvSpPr>
      </xdr:nvSpPr>
      <xdr:spPr bwMode="auto">
        <a:xfrm>
          <a:off x="1828800" y="11196638"/>
          <a:ext cx="76200" cy="600075"/>
        </a:xfrm>
        <a:prstGeom prst="leftBrace">
          <a:avLst>
            <a:gd name="adj1" fmla="val 656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77</xdr:row>
      <xdr:rowOff>38100</xdr:rowOff>
    </xdr:from>
    <xdr:to>
      <xdr:col>3</xdr:col>
      <xdr:colOff>66675</xdr:colOff>
      <xdr:row>80</xdr:row>
      <xdr:rowOff>138113</xdr:rowOff>
    </xdr:to>
    <xdr:sp macro="" textlink="">
      <xdr:nvSpPr>
        <xdr:cNvPr id="53473" name="AutoShape 10"/>
        <xdr:cNvSpPr>
          <a:spLocks/>
        </xdr:cNvSpPr>
      </xdr:nvSpPr>
      <xdr:spPr bwMode="auto">
        <a:xfrm>
          <a:off x="1828800" y="12177713"/>
          <a:ext cx="66675" cy="571500"/>
        </a:xfrm>
        <a:prstGeom prst="leftBrace">
          <a:avLst>
            <a:gd name="adj1" fmla="val 7142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92</xdr:row>
      <xdr:rowOff>38100</xdr:rowOff>
    </xdr:from>
    <xdr:to>
      <xdr:col>3</xdr:col>
      <xdr:colOff>104775</xdr:colOff>
      <xdr:row>95</xdr:row>
      <xdr:rowOff>138113</xdr:rowOff>
    </xdr:to>
    <xdr:sp macro="" textlink="">
      <xdr:nvSpPr>
        <xdr:cNvPr id="53474" name="AutoShape 11"/>
        <xdr:cNvSpPr>
          <a:spLocks/>
        </xdr:cNvSpPr>
      </xdr:nvSpPr>
      <xdr:spPr bwMode="auto">
        <a:xfrm>
          <a:off x="1828800" y="14544675"/>
          <a:ext cx="104775" cy="571500"/>
        </a:xfrm>
        <a:prstGeom prst="leftBrace">
          <a:avLst>
            <a:gd name="adj1" fmla="val 4545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9525</xdr:colOff>
      <xdr:row>83</xdr:row>
      <xdr:rowOff>38100</xdr:rowOff>
    </xdr:from>
    <xdr:to>
      <xdr:col>3</xdr:col>
      <xdr:colOff>85725</xdr:colOff>
      <xdr:row>89</xdr:row>
      <xdr:rowOff>147638</xdr:rowOff>
    </xdr:to>
    <xdr:sp macro="" textlink="">
      <xdr:nvSpPr>
        <xdr:cNvPr id="53475" name="AutoShape 12"/>
        <xdr:cNvSpPr>
          <a:spLocks/>
        </xdr:cNvSpPr>
      </xdr:nvSpPr>
      <xdr:spPr bwMode="auto">
        <a:xfrm>
          <a:off x="1838325" y="13120688"/>
          <a:ext cx="76200" cy="1062037"/>
        </a:xfrm>
        <a:prstGeom prst="leftBrace">
          <a:avLst>
            <a:gd name="adj1" fmla="val 11614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43"/>
  <sheetViews>
    <sheetView workbookViewId="0">
      <selection activeCell="D29" sqref="D29"/>
    </sheetView>
  </sheetViews>
  <sheetFormatPr defaultRowHeight="12.4" x14ac:dyDescent="0.35"/>
  <cols>
    <col min="1" max="1" width="6.85546875" customWidth="1"/>
    <col min="2" max="2" width="56.5703125" customWidth="1"/>
    <col min="3" max="6" width="10.28515625" bestFit="1" customWidth="1"/>
  </cols>
  <sheetData>
    <row r="2" spans="1:6" ht="17.649999999999999" x14ac:dyDescent="0.5">
      <c r="A2" s="24" t="s">
        <v>1383</v>
      </c>
    </row>
    <row r="3" spans="1:6" ht="17.649999999999999" x14ac:dyDescent="0.5">
      <c r="A3" s="24" t="s">
        <v>1387</v>
      </c>
    </row>
    <row r="4" spans="1:6" ht="15" x14ac:dyDescent="0.4">
      <c r="C4" s="6">
        <v>2006</v>
      </c>
      <c r="D4" s="6">
        <v>2006</v>
      </c>
      <c r="E4" s="6">
        <v>2007</v>
      </c>
      <c r="F4" s="6">
        <v>2008</v>
      </c>
    </row>
    <row r="5" spans="1:6" ht="15" x14ac:dyDescent="0.4">
      <c r="C5" s="6" t="s">
        <v>1384</v>
      </c>
      <c r="D5" s="6" t="s">
        <v>2506</v>
      </c>
      <c r="E5" s="6" t="s">
        <v>1384</v>
      </c>
      <c r="F5" s="6" t="s">
        <v>1384</v>
      </c>
    </row>
    <row r="7" spans="1:6" ht="13.15" x14ac:dyDescent="0.4">
      <c r="A7" s="5" t="s">
        <v>2507</v>
      </c>
      <c r="C7" s="10">
        <f>+C14</f>
        <v>15875</v>
      </c>
      <c r="D7" s="10">
        <f>+D14</f>
        <v>14353</v>
      </c>
      <c r="E7" s="10">
        <f>+E14</f>
        <v>15875</v>
      </c>
      <c r="F7" s="10">
        <f>+F14</f>
        <v>15875</v>
      </c>
    </row>
    <row r="8" spans="1:6" x14ac:dyDescent="0.35">
      <c r="C8" s="10"/>
      <c r="D8" s="10"/>
      <c r="E8" s="10"/>
      <c r="F8" s="10"/>
    </row>
    <row r="9" spans="1:6" ht="13.15" x14ac:dyDescent="0.4">
      <c r="B9" s="11" t="s">
        <v>2508</v>
      </c>
      <c r="C9" s="12"/>
      <c r="D9" s="13"/>
      <c r="E9" s="12"/>
      <c r="F9" s="12"/>
    </row>
    <row r="10" spans="1:6" x14ac:dyDescent="0.35">
      <c r="B10" s="1" t="s">
        <v>2509</v>
      </c>
      <c r="C10" s="14">
        <v>7000</v>
      </c>
      <c r="D10" s="15">
        <v>7237</v>
      </c>
      <c r="E10" s="14">
        <v>7000</v>
      </c>
      <c r="F10" s="14">
        <v>7000</v>
      </c>
    </row>
    <row r="11" spans="1:6" x14ac:dyDescent="0.35">
      <c r="B11" s="1" t="s">
        <v>2510</v>
      </c>
      <c r="C11" s="14">
        <f>530+70</f>
        <v>600</v>
      </c>
      <c r="D11" s="15">
        <v>625</v>
      </c>
      <c r="E11" s="14">
        <f>530+70</f>
        <v>600</v>
      </c>
      <c r="F11" s="14">
        <f>530+70</f>
        <v>600</v>
      </c>
    </row>
    <row r="12" spans="1:6" x14ac:dyDescent="0.35">
      <c r="B12" s="1" t="s">
        <v>2511</v>
      </c>
      <c r="C12" s="14">
        <v>8275</v>
      </c>
      <c r="D12" s="15">
        <v>2709</v>
      </c>
      <c r="E12" s="14">
        <v>8275</v>
      </c>
      <c r="F12" s="14">
        <v>8275</v>
      </c>
    </row>
    <row r="13" spans="1:6" x14ac:dyDescent="0.35">
      <c r="B13" s="1" t="s">
        <v>2512</v>
      </c>
      <c r="C13" s="14"/>
      <c r="D13" s="15">
        <f>1243+425+1034+72+1008</f>
        <v>3782</v>
      </c>
      <c r="E13" s="14"/>
      <c r="F13" s="14"/>
    </row>
    <row r="14" spans="1:6" x14ac:dyDescent="0.35">
      <c r="B14" s="2" t="s">
        <v>2513</v>
      </c>
      <c r="C14" s="16">
        <f>SUM(C10:C12)</f>
        <v>15875</v>
      </c>
      <c r="D14" s="17">
        <f>SUM(D10:D13)</f>
        <v>14353</v>
      </c>
      <c r="E14" s="16">
        <f>SUM(E10:E12)</f>
        <v>15875</v>
      </c>
      <c r="F14" s="16">
        <f>SUM(F10:F12)</f>
        <v>15875</v>
      </c>
    </row>
    <row r="15" spans="1:6" x14ac:dyDescent="0.35">
      <c r="C15" s="10"/>
      <c r="D15" s="10"/>
      <c r="E15" s="10"/>
      <c r="F15" s="10"/>
    </row>
    <row r="16" spans="1:6" ht="13.15" x14ac:dyDescent="0.4">
      <c r="A16" s="5" t="s">
        <v>2514</v>
      </c>
      <c r="C16" s="10">
        <v>465</v>
      </c>
      <c r="D16" s="10">
        <v>185</v>
      </c>
      <c r="E16" s="10">
        <v>465</v>
      </c>
      <c r="F16" s="10">
        <v>465</v>
      </c>
    </row>
    <row r="17" spans="1:6" x14ac:dyDescent="0.35">
      <c r="C17" s="10"/>
      <c r="D17" s="10"/>
      <c r="E17" s="10"/>
      <c r="F17" s="10"/>
    </row>
    <row r="18" spans="1:6" ht="13.15" x14ac:dyDescent="0.4">
      <c r="A18" s="5" t="s">
        <v>2515</v>
      </c>
      <c r="C18" s="10">
        <v>23250</v>
      </c>
      <c r="D18" s="10">
        <v>23255</v>
      </c>
      <c r="E18" s="10">
        <f>23250-3020</f>
        <v>20230</v>
      </c>
      <c r="F18" s="10">
        <f>23250-3020</f>
        <v>20230</v>
      </c>
    </row>
    <row r="19" spans="1:6" ht="13.15" x14ac:dyDescent="0.4">
      <c r="A19" s="5"/>
      <c r="C19" s="10"/>
      <c r="D19" s="10"/>
      <c r="E19" s="10"/>
      <c r="F19" s="10"/>
    </row>
    <row r="20" spans="1:6" ht="13.15" x14ac:dyDescent="0.4">
      <c r="A20" s="5" t="s">
        <v>2516</v>
      </c>
      <c r="C20" s="10">
        <v>930</v>
      </c>
      <c r="D20" s="10"/>
      <c r="E20" s="10">
        <v>930</v>
      </c>
      <c r="F20" s="10">
        <v>930</v>
      </c>
    </row>
    <row r="21" spans="1:6" x14ac:dyDescent="0.35">
      <c r="C21" s="10"/>
      <c r="D21" s="10"/>
      <c r="E21" s="10"/>
      <c r="F21" s="10"/>
    </row>
    <row r="22" spans="1:6" ht="13.15" x14ac:dyDescent="0.4">
      <c r="A22" s="5" t="s">
        <v>2517</v>
      </c>
      <c r="C22" s="18">
        <f>+C20+C18+C16+C7</f>
        <v>40520</v>
      </c>
      <c r="D22" s="18">
        <f>+D20+D18+D16+D7</f>
        <v>37793</v>
      </c>
      <c r="E22" s="18">
        <f>+E20+E18+E16+E7</f>
        <v>37500</v>
      </c>
      <c r="F22" s="18">
        <f>+F20+F18+F16+F7</f>
        <v>37500</v>
      </c>
    </row>
    <row r="23" spans="1:6" x14ac:dyDescent="0.35">
      <c r="C23" s="10"/>
      <c r="D23" s="10"/>
      <c r="E23" s="10"/>
      <c r="F23" s="10"/>
    </row>
    <row r="24" spans="1:6" ht="13.15" x14ac:dyDescent="0.4">
      <c r="A24" s="5" t="s">
        <v>2518</v>
      </c>
      <c r="C24" s="10"/>
      <c r="D24" s="10"/>
      <c r="E24" s="10"/>
      <c r="F24" s="10"/>
    </row>
    <row r="25" spans="1:6" x14ac:dyDescent="0.35">
      <c r="C25" s="10"/>
      <c r="D25" s="10"/>
      <c r="E25" s="10"/>
      <c r="F25" s="10"/>
    </row>
    <row r="26" spans="1:6" ht="13.15" x14ac:dyDescent="0.4">
      <c r="A26" s="5" t="s">
        <v>2519</v>
      </c>
      <c r="C26" s="10">
        <f>+C41</f>
        <v>85162</v>
      </c>
      <c r="D26" s="10">
        <f>+D41</f>
        <v>105262</v>
      </c>
      <c r="E26" s="10">
        <f>+E41</f>
        <v>85000</v>
      </c>
      <c r="F26" s="10">
        <f>+F41</f>
        <v>85000</v>
      </c>
    </row>
    <row r="27" spans="1:6" x14ac:dyDescent="0.35">
      <c r="C27" s="10"/>
      <c r="D27" s="10"/>
      <c r="E27" s="10"/>
      <c r="F27" s="10"/>
    </row>
    <row r="28" spans="1:6" ht="13.15" x14ac:dyDescent="0.4">
      <c r="B28" s="11" t="s">
        <v>2520</v>
      </c>
      <c r="C28" s="12"/>
      <c r="D28" s="13"/>
      <c r="E28" s="12"/>
      <c r="F28" s="12"/>
    </row>
    <row r="29" spans="1:6" x14ac:dyDescent="0.35">
      <c r="B29" s="1" t="s">
        <v>2521</v>
      </c>
      <c r="C29" s="14"/>
      <c r="D29" s="15"/>
      <c r="E29" s="14"/>
      <c r="F29" s="14"/>
    </row>
    <row r="30" spans="1:6" x14ac:dyDescent="0.35">
      <c r="B30" s="1" t="s">
        <v>2522</v>
      </c>
      <c r="C30" s="14">
        <v>7000</v>
      </c>
      <c r="D30" s="15">
        <v>9977</v>
      </c>
      <c r="E30" s="14">
        <v>7000</v>
      </c>
      <c r="F30" s="14">
        <v>7000</v>
      </c>
    </row>
    <row r="31" spans="1:6" x14ac:dyDescent="0.35">
      <c r="B31" s="1" t="s">
        <v>2523</v>
      </c>
      <c r="C31" s="14">
        <v>450</v>
      </c>
      <c r="D31" s="15">
        <v>425</v>
      </c>
      <c r="E31" s="14">
        <v>450</v>
      </c>
      <c r="F31" s="14">
        <v>450</v>
      </c>
    </row>
    <row r="32" spans="1:6" x14ac:dyDescent="0.35">
      <c r="B32" s="1" t="s">
        <v>2524</v>
      </c>
      <c r="C32" s="14"/>
      <c r="D32" s="15"/>
      <c r="E32" s="14"/>
      <c r="F32" s="14"/>
    </row>
    <row r="33" spans="1:6" x14ac:dyDescent="0.35">
      <c r="B33" s="1" t="s">
        <v>2525</v>
      </c>
      <c r="C33" s="14">
        <v>40000</v>
      </c>
      <c r="D33" s="15">
        <v>66490</v>
      </c>
      <c r="E33" s="14">
        <v>40000</v>
      </c>
      <c r="F33" s="14">
        <v>40000</v>
      </c>
    </row>
    <row r="34" spans="1:6" x14ac:dyDescent="0.35">
      <c r="B34" s="1" t="s">
        <v>2526</v>
      </c>
      <c r="C34" s="14">
        <v>10000</v>
      </c>
      <c r="D34" s="15">
        <v>10000</v>
      </c>
      <c r="E34" s="14">
        <v>10000</v>
      </c>
      <c r="F34" s="14">
        <v>10000</v>
      </c>
    </row>
    <row r="35" spans="1:6" x14ac:dyDescent="0.35">
      <c r="B35" s="1" t="s">
        <v>2527</v>
      </c>
      <c r="C35" s="14">
        <v>7000</v>
      </c>
      <c r="D35" s="15">
        <v>3000</v>
      </c>
      <c r="E35" s="14">
        <v>7000</v>
      </c>
      <c r="F35" s="14">
        <v>7000</v>
      </c>
    </row>
    <row r="36" spans="1:6" x14ac:dyDescent="0.35">
      <c r="B36" s="1" t="s">
        <v>2528</v>
      </c>
      <c r="C36" s="14">
        <v>5000</v>
      </c>
      <c r="D36" s="15">
        <f>1994+3290</f>
        <v>5284</v>
      </c>
      <c r="E36" s="14">
        <v>5000</v>
      </c>
      <c r="F36" s="14">
        <v>5000</v>
      </c>
    </row>
    <row r="37" spans="1:6" x14ac:dyDescent="0.35">
      <c r="B37" s="1" t="s">
        <v>2529</v>
      </c>
      <c r="C37" s="14">
        <f>4000-288</f>
        <v>3712</v>
      </c>
      <c r="D37" s="15">
        <f>1723+890+546+534+1008+450</f>
        <v>5151</v>
      </c>
      <c r="E37" s="14">
        <v>3550</v>
      </c>
      <c r="F37" s="14">
        <v>3550</v>
      </c>
    </row>
    <row r="38" spans="1:6" x14ac:dyDescent="0.35">
      <c r="B38" s="1" t="s">
        <v>2530</v>
      </c>
      <c r="C38" s="14"/>
      <c r="D38" s="15"/>
      <c r="E38" s="14"/>
      <c r="F38" s="14"/>
    </row>
    <row r="39" spans="1:6" x14ac:dyDescent="0.35">
      <c r="B39" s="1" t="s">
        <v>2531</v>
      </c>
      <c r="C39" s="14">
        <v>12000</v>
      </c>
      <c r="D39" s="15">
        <v>4935</v>
      </c>
      <c r="E39" s="14">
        <v>12000</v>
      </c>
      <c r="F39" s="14">
        <v>12000</v>
      </c>
    </row>
    <row r="40" spans="1:6" x14ac:dyDescent="0.35">
      <c r="B40" s="1" t="s">
        <v>2532</v>
      </c>
      <c r="C40" s="14">
        <f>SUM(C30:C39)</f>
        <v>85162</v>
      </c>
      <c r="D40" s="15">
        <f>SUM(D30:D39)</f>
        <v>105262</v>
      </c>
      <c r="E40" s="14">
        <f>SUM(E30:E39)</f>
        <v>85000</v>
      </c>
      <c r="F40" s="14">
        <f>SUM(F30:F39)</f>
        <v>85000</v>
      </c>
    </row>
    <row r="41" spans="1:6" x14ac:dyDescent="0.35">
      <c r="B41" s="2" t="s">
        <v>2513</v>
      </c>
      <c r="C41" s="16">
        <f>SUM(C40:C40)</f>
        <v>85162</v>
      </c>
      <c r="D41" s="17">
        <f>SUM(D40:D40)</f>
        <v>105262</v>
      </c>
      <c r="E41" s="16">
        <f>SUM(E40:E40)</f>
        <v>85000</v>
      </c>
      <c r="F41" s="16">
        <f>SUM(F40:F40)</f>
        <v>85000</v>
      </c>
    </row>
    <row r="42" spans="1:6" x14ac:dyDescent="0.35">
      <c r="C42" s="10"/>
      <c r="D42" s="10"/>
      <c r="E42" s="10"/>
      <c r="F42" s="10"/>
    </row>
    <row r="43" spans="1:6" x14ac:dyDescent="0.35">
      <c r="C43" s="10"/>
      <c r="D43" s="10"/>
      <c r="E43" s="10"/>
      <c r="F43" s="10"/>
    </row>
    <row r="44" spans="1:6" ht="13.15" x14ac:dyDescent="0.4">
      <c r="A44" s="5" t="s">
        <v>2533</v>
      </c>
      <c r="C44" s="10">
        <v>2500</v>
      </c>
      <c r="D44" s="10">
        <v>2500</v>
      </c>
      <c r="E44" s="10">
        <v>3000</v>
      </c>
      <c r="F44" s="10">
        <v>3000</v>
      </c>
    </row>
    <row r="45" spans="1:6" x14ac:dyDescent="0.35">
      <c r="C45" s="10"/>
      <c r="D45" s="10"/>
      <c r="E45" s="10"/>
      <c r="F45" s="10"/>
    </row>
    <row r="46" spans="1:6" ht="13.15" x14ac:dyDescent="0.4">
      <c r="A46" s="5" t="s">
        <v>2534</v>
      </c>
      <c r="C46" s="10">
        <v>120000</v>
      </c>
      <c r="D46" s="10">
        <v>120000</v>
      </c>
      <c r="E46" s="10">
        <v>110000</v>
      </c>
      <c r="F46" s="10">
        <v>110000</v>
      </c>
    </row>
    <row r="47" spans="1:6" x14ac:dyDescent="0.35">
      <c r="C47" s="10"/>
      <c r="D47" s="10"/>
      <c r="E47" s="10"/>
      <c r="F47" s="10"/>
    </row>
    <row r="48" spans="1:6" ht="13.15" x14ac:dyDescent="0.4">
      <c r="A48" s="5" t="s">
        <v>2535</v>
      </c>
      <c r="C48" s="10">
        <v>5000</v>
      </c>
      <c r="D48" s="10"/>
      <c r="E48" s="10">
        <v>5000</v>
      </c>
      <c r="F48" s="10">
        <v>5000</v>
      </c>
    </row>
    <row r="49" spans="1:7" ht="13.15" x14ac:dyDescent="0.4">
      <c r="A49" s="5"/>
      <c r="C49" s="10"/>
      <c r="D49" s="10"/>
      <c r="E49" s="10"/>
      <c r="F49" s="10"/>
    </row>
    <row r="50" spans="1:7" ht="13.15" x14ac:dyDescent="0.4">
      <c r="A50" s="5" t="s">
        <v>2536</v>
      </c>
      <c r="C50" s="18">
        <f>+C46+C44+C26+C24+C48</f>
        <v>212662</v>
      </c>
      <c r="D50" s="18">
        <f>+D46+D44+D26+D24+D48</f>
        <v>227762</v>
      </c>
      <c r="E50" s="18">
        <f>+E46+E44+E26+E24+E48</f>
        <v>203000</v>
      </c>
      <c r="F50" s="18">
        <f>+F46+F44+F26+F24+F48</f>
        <v>203000</v>
      </c>
      <c r="G50" s="25"/>
    </row>
    <row r="51" spans="1:7" x14ac:dyDescent="0.35">
      <c r="C51" s="10"/>
      <c r="D51" s="10"/>
      <c r="E51" s="10"/>
      <c r="F51" s="10"/>
    </row>
    <row r="52" spans="1:7" ht="13.15" x14ac:dyDescent="0.4">
      <c r="A52" s="5" t="s">
        <v>2537</v>
      </c>
    </row>
    <row r="53" spans="1:7" x14ac:dyDescent="0.35">
      <c r="C53" s="10"/>
      <c r="D53" s="10"/>
      <c r="E53" s="10"/>
      <c r="F53" s="10"/>
    </row>
    <row r="54" spans="1:7" ht="13.15" x14ac:dyDescent="0.4">
      <c r="A54" s="5" t="s">
        <v>2538</v>
      </c>
      <c r="C54" s="10">
        <v>211000</v>
      </c>
      <c r="D54" s="10">
        <v>211000</v>
      </c>
      <c r="E54" s="10">
        <v>214500</v>
      </c>
      <c r="F54" s="10">
        <v>214500</v>
      </c>
    </row>
    <row r="55" spans="1:7" x14ac:dyDescent="0.35">
      <c r="C55" s="10"/>
      <c r="D55" s="10"/>
      <c r="E55" s="10"/>
      <c r="F55" s="10"/>
    </row>
    <row r="56" spans="1:7" ht="13.15" x14ac:dyDescent="0.4">
      <c r="A56" s="5" t="s">
        <v>2539</v>
      </c>
      <c r="C56" s="10">
        <v>1000</v>
      </c>
      <c r="D56" s="10">
        <v>159</v>
      </c>
      <c r="E56" s="10">
        <v>500</v>
      </c>
      <c r="F56" s="10">
        <v>500</v>
      </c>
    </row>
    <row r="57" spans="1:7" x14ac:dyDescent="0.35">
      <c r="C57" s="10"/>
      <c r="D57" s="10"/>
      <c r="E57" s="10"/>
      <c r="F57" s="10"/>
    </row>
    <row r="58" spans="1:7" ht="13.15" x14ac:dyDescent="0.4">
      <c r="A58" s="5" t="s">
        <v>2540</v>
      </c>
      <c r="C58" s="10">
        <v>0</v>
      </c>
      <c r="D58" s="10"/>
      <c r="E58" s="10">
        <v>0</v>
      </c>
      <c r="F58" s="10">
        <v>0</v>
      </c>
    </row>
    <row r="59" spans="1:7" x14ac:dyDescent="0.35">
      <c r="C59" s="10"/>
      <c r="D59" s="10"/>
      <c r="E59" s="10"/>
      <c r="F59" s="10"/>
    </row>
    <row r="60" spans="1:7" ht="13.15" x14ac:dyDescent="0.4">
      <c r="A60" s="5" t="s">
        <v>2541</v>
      </c>
      <c r="C60" s="10">
        <v>30000</v>
      </c>
      <c r="D60" s="10">
        <v>19965</v>
      </c>
      <c r="E60" s="10">
        <v>20000</v>
      </c>
      <c r="F60" s="10">
        <v>20000</v>
      </c>
    </row>
    <row r="61" spans="1:7" x14ac:dyDescent="0.35">
      <c r="C61" s="10"/>
      <c r="D61" s="10"/>
      <c r="E61" s="10"/>
      <c r="F61" s="10"/>
    </row>
    <row r="62" spans="1:7" ht="13.15" x14ac:dyDescent="0.4">
      <c r="A62" s="5" t="s">
        <v>1399</v>
      </c>
      <c r="C62" s="10">
        <f>4750+3200</f>
        <v>7950</v>
      </c>
      <c r="D62" s="10">
        <v>4166</v>
      </c>
      <c r="E62" s="10">
        <v>5000</v>
      </c>
      <c r="F62" s="10">
        <v>5000</v>
      </c>
    </row>
    <row r="63" spans="1:7" x14ac:dyDescent="0.35">
      <c r="C63" s="10"/>
      <c r="D63" s="10"/>
      <c r="E63" s="10"/>
      <c r="F63" s="10"/>
    </row>
    <row r="64" spans="1:7" ht="13.15" x14ac:dyDescent="0.4">
      <c r="A64" s="5" t="s">
        <v>2542</v>
      </c>
      <c r="C64" s="18">
        <f>+C62+C60+C58+C54+C56</f>
        <v>249950</v>
      </c>
      <c r="D64" s="18">
        <f>+D62+D60+D58+D54+D56</f>
        <v>235290</v>
      </c>
      <c r="E64" s="18">
        <f>+E62+E60+E58+E54+E56</f>
        <v>240000</v>
      </c>
      <c r="F64" s="18">
        <f>+F62+F60+F58+F54+F56</f>
        <v>240000</v>
      </c>
    </row>
    <row r="65" spans="1:6" x14ac:dyDescent="0.35">
      <c r="C65" s="10"/>
      <c r="D65" s="10"/>
      <c r="E65" s="10"/>
      <c r="F65" s="10"/>
    </row>
    <row r="66" spans="1:6" ht="13.15" x14ac:dyDescent="0.4">
      <c r="A66" s="5" t="s">
        <v>2543</v>
      </c>
      <c r="C66" s="10">
        <v>2325</v>
      </c>
      <c r="D66" s="10">
        <v>134</v>
      </c>
      <c r="E66" s="10">
        <v>1500</v>
      </c>
      <c r="F66" s="10">
        <v>1500</v>
      </c>
    </row>
    <row r="67" spans="1:6" x14ac:dyDescent="0.35">
      <c r="C67" s="10"/>
      <c r="D67" s="10"/>
      <c r="E67" s="10"/>
      <c r="F67" s="10"/>
    </row>
    <row r="68" spans="1:6" x14ac:dyDescent="0.35">
      <c r="C68" s="10"/>
      <c r="D68" s="10"/>
      <c r="E68" s="10"/>
      <c r="F68" s="10"/>
    </row>
    <row r="69" spans="1:6" ht="13.15" x14ac:dyDescent="0.4">
      <c r="A69" s="5" t="s">
        <v>2544</v>
      </c>
      <c r="C69" s="10">
        <f>+C89</f>
        <v>160000</v>
      </c>
      <c r="D69" s="10">
        <f>+D89</f>
        <v>135537</v>
      </c>
      <c r="E69" s="10">
        <f>+E89</f>
        <v>137999.5</v>
      </c>
      <c r="F69" s="10">
        <f>+F89</f>
        <v>137999.5</v>
      </c>
    </row>
    <row r="70" spans="1:6" x14ac:dyDescent="0.35">
      <c r="C70" s="10"/>
      <c r="D70" s="10"/>
      <c r="E70" s="10"/>
      <c r="F70" s="10"/>
    </row>
    <row r="71" spans="1:6" x14ac:dyDescent="0.35">
      <c r="C71" s="10"/>
      <c r="D71" s="10"/>
      <c r="E71" s="10"/>
      <c r="F71" s="10"/>
    </row>
    <row r="72" spans="1:6" ht="13.15" x14ac:dyDescent="0.4">
      <c r="B72" s="11" t="s">
        <v>2545</v>
      </c>
      <c r="C72" s="12"/>
      <c r="D72" s="13"/>
      <c r="E72" s="12"/>
      <c r="F72" s="12"/>
    </row>
    <row r="73" spans="1:6" x14ac:dyDescent="0.35">
      <c r="B73" s="1" t="s">
        <v>2546</v>
      </c>
      <c r="C73" s="14">
        <v>530</v>
      </c>
      <c r="D73" s="15">
        <v>500</v>
      </c>
      <c r="E73" s="14">
        <v>530</v>
      </c>
      <c r="F73" s="14">
        <v>530</v>
      </c>
    </row>
    <row r="74" spans="1:6" x14ac:dyDescent="0.35">
      <c r="B74" s="1" t="s">
        <v>2547</v>
      </c>
      <c r="C74" s="14">
        <v>7000</v>
      </c>
      <c r="D74" s="15">
        <f>5228+2738</f>
        <v>7966</v>
      </c>
      <c r="E74" s="14">
        <v>7000</v>
      </c>
      <c r="F74" s="14">
        <v>7000</v>
      </c>
    </row>
    <row r="75" spans="1:6" x14ac:dyDescent="0.35">
      <c r="B75" s="1" t="s">
        <v>2548</v>
      </c>
      <c r="C75" s="14">
        <v>40000</v>
      </c>
      <c r="D75" s="15">
        <f>32275+3476</f>
        <v>35751</v>
      </c>
      <c r="E75" s="14">
        <v>33014.5</v>
      </c>
      <c r="F75" s="14">
        <v>33014.5</v>
      </c>
    </row>
    <row r="76" spans="1:6" x14ac:dyDescent="0.35">
      <c r="B76" s="1" t="s">
        <v>2549</v>
      </c>
      <c r="C76" s="14">
        <v>40000</v>
      </c>
      <c r="D76" s="15">
        <v>42462</v>
      </c>
      <c r="E76" s="14">
        <v>33014</v>
      </c>
      <c r="F76" s="14">
        <v>33014</v>
      </c>
    </row>
    <row r="77" spans="1:6" x14ac:dyDescent="0.35">
      <c r="B77" s="1" t="s">
        <v>2550</v>
      </c>
      <c r="C77" s="14">
        <v>10000</v>
      </c>
      <c r="D77" s="15">
        <f>6400+393</f>
        <v>6793</v>
      </c>
      <c r="E77" s="14">
        <v>10000</v>
      </c>
      <c r="F77" s="14">
        <v>10000</v>
      </c>
    </row>
    <row r="78" spans="1:6" x14ac:dyDescent="0.35">
      <c r="B78" s="1" t="s">
        <v>2551</v>
      </c>
      <c r="C78" s="14">
        <v>20000</v>
      </c>
      <c r="D78" s="15">
        <v>10500</v>
      </c>
      <c r="E78" s="14">
        <v>5000</v>
      </c>
      <c r="F78" s="14">
        <v>5000</v>
      </c>
    </row>
    <row r="79" spans="1:6" x14ac:dyDescent="0.35">
      <c r="B79" s="1" t="s">
        <v>2552</v>
      </c>
      <c r="C79" s="14">
        <v>12870</v>
      </c>
      <c r="D79" s="15">
        <v>11025</v>
      </c>
      <c r="E79" s="14">
        <v>12871</v>
      </c>
      <c r="F79" s="14">
        <v>12871</v>
      </c>
    </row>
    <row r="80" spans="1:6" x14ac:dyDescent="0.35">
      <c r="B80" s="1" t="s">
        <v>2553</v>
      </c>
      <c r="C80" s="14">
        <v>10000</v>
      </c>
      <c r="D80" s="15">
        <v>2000</v>
      </c>
      <c r="E80" s="14"/>
      <c r="F80" s="14"/>
    </row>
    <row r="81" spans="1:6" x14ac:dyDescent="0.35">
      <c r="B81" s="1" t="s">
        <v>2554</v>
      </c>
      <c r="C81" s="14"/>
      <c r="D81" s="15"/>
      <c r="E81" s="14">
        <v>2000</v>
      </c>
      <c r="F81" s="14">
        <v>2000</v>
      </c>
    </row>
    <row r="82" spans="1:6" x14ac:dyDescent="0.35">
      <c r="B82" s="1" t="s">
        <v>2555</v>
      </c>
      <c r="C82" s="14">
        <v>4600</v>
      </c>
      <c r="D82" s="15">
        <f>334+648+3176+713+631+2738</f>
        <v>8240</v>
      </c>
      <c r="E82" s="14">
        <f>2600-530</f>
        <v>2070</v>
      </c>
      <c r="F82" s="14">
        <f>2600-530</f>
        <v>2070</v>
      </c>
    </row>
    <row r="83" spans="1:6" x14ac:dyDescent="0.35">
      <c r="B83" s="1" t="s">
        <v>2556</v>
      </c>
      <c r="C83" s="14">
        <v>10000</v>
      </c>
      <c r="D83" s="15">
        <v>10300</v>
      </c>
      <c r="E83" s="14"/>
      <c r="F83" s="14"/>
    </row>
    <row r="84" spans="1:6" x14ac:dyDescent="0.35">
      <c r="B84" s="1" t="s">
        <v>2557</v>
      </c>
      <c r="C84" s="14">
        <v>5000</v>
      </c>
      <c r="D84" s="15"/>
      <c r="E84" s="14"/>
      <c r="F84" s="14"/>
    </row>
    <row r="85" spans="1:6" x14ac:dyDescent="0.35">
      <c r="B85" s="1" t="s">
        <v>2558</v>
      </c>
      <c r="C85" s="14"/>
      <c r="D85" s="15"/>
      <c r="E85" s="14">
        <v>18000</v>
      </c>
      <c r="F85" s="14">
        <v>18000</v>
      </c>
    </row>
    <row r="86" spans="1:6" x14ac:dyDescent="0.35">
      <c r="B86" s="1" t="s">
        <v>2559</v>
      </c>
      <c r="C86" s="14"/>
      <c r="D86" s="15"/>
      <c r="E86" s="14">
        <v>12500</v>
      </c>
      <c r="F86" s="14">
        <v>12500</v>
      </c>
    </row>
    <row r="87" spans="1:6" x14ac:dyDescent="0.35">
      <c r="B87" s="1" t="s">
        <v>2560</v>
      </c>
      <c r="C87" s="14"/>
      <c r="D87" s="15"/>
      <c r="E87" s="14">
        <v>2000</v>
      </c>
      <c r="F87" s="14">
        <v>2000</v>
      </c>
    </row>
    <row r="88" spans="1:6" x14ac:dyDescent="0.35">
      <c r="B88" s="1" t="s">
        <v>2561</v>
      </c>
      <c r="C88" s="14"/>
      <c r="D88" s="15"/>
      <c r="E88" s="14"/>
      <c r="F88" s="14"/>
    </row>
    <row r="89" spans="1:6" ht="12.75" x14ac:dyDescent="0.35">
      <c r="B89" s="2" t="s">
        <v>2513</v>
      </c>
      <c r="C89" s="19">
        <f>SUM(C73:C88)</f>
        <v>160000</v>
      </c>
      <c r="D89" s="17">
        <f>SUM(D73:D88)</f>
        <v>135537</v>
      </c>
      <c r="E89" s="19">
        <f>SUM(E73:E88)</f>
        <v>137999.5</v>
      </c>
      <c r="F89" s="19">
        <f>SUM(F73:F88)</f>
        <v>137999.5</v>
      </c>
    </row>
    <row r="90" spans="1:6" x14ac:dyDescent="0.35">
      <c r="C90" s="10"/>
      <c r="D90" s="10"/>
      <c r="E90" s="10"/>
      <c r="F90" s="10"/>
    </row>
    <row r="91" spans="1:6" ht="13.15" x14ac:dyDescent="0.4">
      <c r="A91" s="5" t="s">
        <v>2562</v>
      </c>
      <c r="C91" s="10">
        <v>2790</v>
      </c>
      <c r="D91" s="10">
        <v>2416</v>
      </c>
      <c r="E91" s="10">
        <v>2500</v>
      </c>
      <c r="F91" s="10">
        <v>2500</v>
      </c>
    </row>
    <row r="92" spans="1:6" x14ac:dyDescent="0.35">
      <c r="C92" s="10"/>
      <c r="D92" s="10"/>
      <c r="E92" s="10"/>
      <c r="F92" s="10"/>
    </row>
    <row r="93" spans="1:6" ht="13.15" x14ac:dyDescent="0.4">
      <c r="A93" s="5" t="s">
        <v>2563</v>
      </c>
      <c r="C93" s="10">
        <v>698</v>
      </c>
      <c r="D93" s="10">
        <v>577</v>
      </c>
      <c r="E93" s="10">
        <v>850</v>
      </c>
      <c r="F93" s="10">
        <v>850</v>
      </c>
    </row>
    <row r="94" spans="1:6" x14ac:dyDescent="0.35">
      <c r="C94" s="10"/>
      <c r="D94" s="10"/>
      <c r="E94" s="10"/>
      <c r="F94" s="10"/>
    </row>
    <row r="95" spans="1:6" ht="13.15" x14ac:dyDescent="0.4">
      <c r="A95" s="5" t="s">
        <v>2564</v>
      </c>
      <c r="C95" s="10">
        <f>+C107</f>
        <v>47574</v>
      </c>
      <c r="D95" s="10">
        <f>+D107</f>
        <v>32113.739999999998</v>
      </c>
      <c r="E95" s="10">
        <f>+E107</f>
        <v>30000</v>
      </c>
      <c r="F95" s="10">
        <f>+F107</f>
        <v>30000</v>
      </c>
    </row>
    <row r="96" spans="1:6" x14ac:dyDescent="0.35">
      <c r="C96" s="10"/>
      <c r="D96" s="10"/>
      <c r="E96" s="10"/>
      <c r="F96" s="10"/>
    </row>
    <row r="97" spans="1:8" ht="13.15" x14ac:dyDescent="0.4">
      <c r="B97" s="11" t="s">
        <v>1393</v>
      </c>
      <c r="C97" s="12"/>
      <c r="D97" s="13"/>
      <c r="E97" s="12"/>
      <c r="F97" s="12"/>
    </row>
    <row r="98" spans="1:8" x14ac:dyDescent="0.35">
      <c r="B98" s="1" t="s">
        <v>2546</v>
      </c>
      <c r="C98" s="14">
        <v>400</v>
      </c>
      <c r="D98" s="15">
        <v>400</v>
      </c>
      <c r="E98" s="14">
        <v>400</v>
      </c>
      <c r="F98" s="14">
        <v>400</v>
      </c>
    </row>
    <row r="99" spans="1:8" x14ac:dyDescent="0.35">
      <c r="B99" s="1" t="s">
        <v>2565</v>
      </c>
      <c r="C99" s="14">
        <v>3500</v>
      </c>
      <c r="D99" s="15">
        <v>9034.74</v>
      </c>
      <c r="E99" s="14">
        <v>3500</v>
      </c>
      <c r="F99" s="14">
        <v>3500</v>
      </c>
    </row>
    <row r="100" spans="1:8" x14ac:dyDescent="0.35">
      <c r="B100" s="1" t="s">
        <v>2566</v>
      </c>
      <c r="C100" s="14">
        <v>0</v>
      </c>
      <c r="D100" s="15">
        <v>0</v>
      </c>
      <c r="E100" s="14">
        <v>0</v>
      </c>
      <c r="F100" s="14">
        <v>0</v>
      </c>
    </row>
    <row r="101" spans="1:8" x14ac:dyDescent="0.35">
      <c r="B101" s="1" t="s">
        <v>2567</v>
      </c>
      <c r="C101" s="14">
        <v>1674</v>
      </c>
      <c r="D101" s="15">
        <v>2238</v>
      </c>
      <c r="E101" s="14">
        <f>1674+2426</f>
        <v>4100</v>
      </c>
      <c r="F101" s="14">
        <f>1674+2426</f>
        <v>4100</v>
      </c>
    </row>
    <row r="102" spans="1:8" x14ac:dyDescent="0.35">
      <c r="B102" s="1" t="s">
        <v>2568</v>
      </c>
      <c r="C102" s="14">
        <v>20000</v>
      </c>
      <c r="D102" s="15">
        <v>15163</v>
      </c>
      <c r="E102" s="14"/>
      <c r="F102" s="14"/>
    </row>
    <row r="103" spans="1:8" x14ac:dyDescent="0.35">
      <c r="B103" s="1" t="s">
        <v>2569</v>
      </c>
      <c r="C103" s="14"/>
      <c r="D103" s="15" t="s">
        <v>2570</v>
      </c>
      <c r="E103" s="14"/>
      <c r="F103" s="14"/>
    </row>
    <row r="104" spans="1:8" x14ac:dyDescent="0.35">
      <c r="B104" s="1" t="s">
        <v>2571</v>
      </c>
      <c r="C104" s="14">
        <v>37000</v>
      </c>
      <c r="D104" s="15">
        <f>15469+785</f>
        <v>16254</v>
      </c>
      <c r="E104" s="14">
        <v>37000</v>
      </c>
      <c r="F104" s="14">
        <v>37000</v>
      </c>
    </row>
    <row r="105" spans="1:8" x14ac:dyDescent="0.35">
      <c r="B105" s="1" t="s">
        <v>2572</v>
      </c>
      <c r="C105" s="14"/>
      <c r="D105" s="15"/>
      <c r="E105" s="14"/>
      <c r="F105" s="14"/>
      <c r="H105" s="25"/>
    </row>
    <row r="106" spans="1:8" x14ac:dyDescent="0.35">
      <c r="B106" s="1" t="s">
        <v>2573</v>
      </c>
      <c r="C106" s="14">
        <v>-15000</v>
      </c>
      <c r="D106" s="15">
        <v>-10976</v>
      </c>
      <c r="E106" s="14">
        <v>-15000</v>
      </c>
      <c r="F106" s="14">
        <v>-15000</v>
      </c>
    </row>
    <row r="107" spans="1:8" x14ac:dyDescent="0.35">
      <c r="B107" s="2" t="s">
        <v>2513</v>
      </c>
      <c r="C107" s="16">
        <f>SUM(C98:C106)</f>
        <v>47574</v>
      </c>
      <c r="D107" s="17">
        <f>SUM(D98:D106)</f>
        <v>32113.739999999998</v>
      </c>
      <c r="E107" s="16">
        <f>SUM(E98:E106)</f>
        <v>30000</v>
      </c>
      <c r="F107" s="16">
        <f>SUM(F98:F106)</f>
        <v>30000</v>
      </c>
      <c r="H107" s="25"/>
    </row>
    <row r="108" spans="1:8" x14ac:dyDescent="0.35">
      <c r="C108" s="10"/>
      <c r="D108" s="10"/>
      <c r="E108" s="10"/>
      <c r="F108" s="10"/>
    </row>
    <row r="109" spans="1:8" x14ac:dyDescent="0.35">
      <c r="A109" t="s">
        <v>2574</v>
      </c>
      <c r="C109" s="10">
        <v>8155</v>
      </c>
      <c r="D109" s="10">
        <v>19.5</v>
      </c>
      <c r="E109" s="10">
        <v>10500</v>
      </c>
      <c r="F109" s="10">
        <v>10500</v>
      </c>
    </row>
    <row r="110" spans="1:8" x14ac:dyDescent="0.35">
      <c r="C110" s="10"/>
      <c r="D110" s="10"/>
      <c r="E110" s="10"/>
      <c r="F110" s="10"/>
    </row>
    <row r="111" spans="1:8" x14ac:dyDescent="0.35">
      <c r="A111" t="s">
        <v>2575</v>
      </c>
      <c r="C111" s="10">
        <v>465</v>
      </c>
      <c r="D111" s="10">
        <v>72.08</v>
      </c>
      <c r="E111" s="10">
        <v>250</v>
      </c>
      <c r="F111" s="10">
        <v>250</v>
      </c>
    </row>
    <row r="112" spans="1:8" x14ac:dyDescent="0.35">
      <c r="C112" s="10"/>
      <c r="D112" s="10"/>
      <c r="E112" s="10"/>
      <c r="F112" s="10"/>
    </row>
    <row r="113" spans="1:6" x14ac:dyDescent="0.35">
      <c r="A113" t="s">
        <v>2576</v>
      </c>
      <c r="C113" s="10">
        <v>465</v>
      </c>
      <c r="D113" s="10">
        <v>6.41</v>
      </c>
      <c r="E113" s="10">
        <v>250</v>
      </c>
      <c r="F113" s="10">
        <v>250</v>
      </c>
    </row>
    <row r="114" spans="1:6" x14ac:dyDescent="0.35">
      <c r="C114" s="10"/>
      <c r="D114" s="10"/>
      <c r="E114" s="10"/>
      <c r="F114" s="10"/>
    </row>
    <row r="115" spans="1:6" ht="13.15" x14ac:dyDescent="0.4">
      <c r="A115" s="5" t="s">
        <v>2577</v>
      </c>
      <c r="C115" s="10">
        <v>6975</v>
      </c>
      <c r="D115" s="10">
        <v>6975</v>
      </c>
      <c r="E115" s="10">
        <v>6975</v>
      </c>
      <c r="F115" s="10">
        <v>6975</v>
      </c>
    </row>
    <row r="116" spans="1:6" x14ac:dyDescent="0.35">
      <c r="C116" s="10"/>
      <c r="D116" s="10"/>
      <c r="E116" s="10"/>
      <c r="F116" s="10"/>
    </row>
    <row r="117" spans="1:6" ht="13.15" x14ac:dyDescent="0.4">
      <c r="A117" s="5" t="s">
        <v>2578</v>
      </c>
      <c r="C117" s="10">
        <v>6975</v>
      </c>
      <c r="D117" s="10">
        <v>6975</v>
      </c>
      <c r="E117" s="10">
        <v>6975</v>
      </c>
      <c r="F117" s="10">
        <v>6975</v>
      </c>
    </row>
    <row r="118" spans="1:6" x14ac:dyDescent="0.35">
      <c r="C118" s="10"/>
      <c r="D118" s="10"/>
      <c r="E118" s="10"/>
      <c r="F118" s="10"/>
    </row>
    <row r="119" spans="1:6" ht="13.15" x14ac:dyDescent="0.4">
      <c r="A119" s="5" t="s">
        <v>2579</v>
      </c>
      <c r="C119" s="10">
        <v>24500</v>
      </c>
      <c r="D119" s="10">
        <v>24500</v>
      </c>
      <c r="E119" s="10">
        <v>23500</v>
      </c>
      <c r="F119" s="10">
        <v>23500</v>
      </c>
    </row>
    <row r="120" spans="1:6" x14ac:dyDescent="0.35">
      <c r="C120" s="10"/>
      <c r="D120" s="10"/>
      <c r="E120" s="10"/>
      <c r="F120" s="10"/>
    </row>
    <row r="121" spans="1:6" ht="13.15" x14ac:dyDescent="0.4">
      <c r="A121" s="5" t="s">
        <v>777</v>
      </c>
      <c r="C121" s="10">
        <v>465</v>
      </c>
      <c r="D121" s="10">
        <v>0</v>
      </c>
      <c r="E121" s="10">
        <v>300</v>
      </c>
      <c r="F121" s="10">
        <v>300</v>
      </c>
    </row>
    <row r="122" spans="1:6" ht="13.15" x14ac:dyDescent="0.4">
      <c r="A122" s="5"/>
      <c r="C122" s="10"/>
      <c r="D122" s="10"/>
      <c r="E122" s="10"/>
      <c r="F122" s="10"/>
    </row>
    <row r="123" spans="1:6" ht="13.15" x14ac:dyDescent="0.4">
      <c r="A123" s="5" t="s">
        <v>1398</v>
      </c>
      <c r="C123" s="10">
        <v>5000</v>
      </c>
      <c r="D123" s="10">
        <v>6250</v>
      </c>
      <c r="E123" s="10">
        <v>7500</v>
      </c>
      <c r="F123" s="10">
        <v>7500</v>
      </c>
    </row>
    <row r="124" spans="1:6" ht="13.15" x14ac:dyDescent="0.4">
      <c r="A124" s="5"/>
      <c r="C124" s="10"/>
      <c r="D124" s="10"/>
      <c r="E124" s="10"/>
      <c r="F124" s="10"/>
    </row>
    <row r="125" spans="1:6" x14ac:dyDescent="0.35">
      <c r="C125" s="10"/>
      <c r="D125" s="10"/>
      <c r="E125" s="10"/>
      <c r="F125" s="10"/>
    </row>
    <row r="126" spans="1:6" ht="13.15" x14ac:dyDescent="0.4">
      <c r="A126" s="5" t="s">
        <v>778</v>
      </c>
      <c r="C126" s="18">
        <f>+C121+C119+C117+C115+C113+C111+C109+C95+C93+C91+C69+C66+C123</f>
        <v>266387</v>
      </c>
      <c r="D126" s="18">
        <f>+D121+D119+D117+D115+D113+D111+D109+D95+D93+D91+D69+D66+D123</f>
        <v>215575.73</v>
      </c>
      <c r="E126" s="18">
        <f>+E121+E119+E117+E115+E113+E111+E109+E95+E93+E91+E69+E66+E123</f>
        <v>229099.5</v>
      </c>
      <c r="F126" s="18">
        <f>+F121+F119+F117+F115+F113+F111+F109+F95+F93+F91+F69+F66+F123</f>
        <v>229099.5</v>
      </c>
    </row>
    <row r="127" spans="1:6" x14ac:dyDescent="0.35">
      <c r="C127" s="10"/>
      <c r="D127" s="10"/>
      <c r="E127" s="10"/>
      <c r="F127" s="10"/>
    </row>
    <row r="128" spans="1:6" ht="13.15" x14ac:dyDescent="0.4">
      <c r="A128" s="5" t="s">
        <v>779</v>
      </c>
      <c r="C128" s="10">
        <v>3900</v>
      </c>
      <c r="D128" s="10">
        <v>1340.75</v>
      </c>
      <c r="E128" s="10">
        <v>3200</v>
      </c>
      <c r="F128" s="10">
        <v>3200</v>
      </c>
    </row>
    <row r="129" spans="1:6" x14ac:dyDescent="0.35">
      <c r="C129" s="10"/>
      <c r="D129" s="10"/>
      <c r="E129" s="10"/>
      <c r="F129" s="10"/>
    </row>
    <row r="130" spans="1:6" x14ac:dyDescent="0.35">
      <c r="C130" s="10"/>
      <c r="D130" s="10"/>
      <c r="E130" s="10"/>
      <c r="F130" s="10"/>
    </row>
    <row r="131" spans="1:6" ht="13.15" x14ac:dyDescent="0.4">
      <c r="A131" s="5" t="s">
        <v>780</v>
      </c>
      <c r="C131" s="10">
        <v>5254</v>
      </c>
      <c r="D131" s="10">
        <v>4085.91</v>
      </c>
      <c r="E131" s="10">
        <v>4500</v>
      </c>
      <c r="F131" s="10">
        <v>4500</v>
      </c>
    </row>
    <row r="132" spans="1:6" x14ac:dyDescent="0.35">
      <c r="C132" s="10"/>
      <c r="D132" s="10"/>
      <c r="E132" s="10"/>
      <c r="F132" s="10"/>
    </row>
    <row r="133" spans="1:6" ht="13.15" x14ac:dyDescent="0.4">
      <c r="A133" s="5" t="s">
        <v>781</v>
      </c>
      <c r="C133" s="10">
        <f>+C162</f>
        <v>22150</v>
      </c>
      <c r="D133" s="10">
        <f>+D162</f>
        <v>22149.540000000005</v>
      </c>
      <c r="E133" s="10">
        <f>+E162</f>
        <v>35800</v>
      </c>
      <c r="F133" s="10">
        <f>+F162</f>
        <v>35800</v>
      </c>
    </row>
    <row r="134" spans="1:6" x14ac:dyDescent="0.35">
      <c r="C134" s="10"/>
      <c r="D134" s="10"/>
      <c r="E134" s="10"/>
      <c r="F134" s="10"/>
    </row>
    <row r="135" spans="1:6" ht="13.15" x14ac:dyDescent="0.4">
      <c r="B135" s="11" t="s">
        <v>782</v>
      </c>
      <c r="C135" s="12"/>
      <c r="D135" s="13"/>
      <c r="E135" s="12"/>
      <c r="F135" s="12"/>
    </row>
    <row r="136" spans="1:6" x14ac:dyDescent="0.35">
      <c r="B136" s="1" t="s">
        <v>783</v>
      </c>
      <c r="C136" s="14"/>
      <c r="D136" s="15"/>
      <c r="E136" s="14"/>
      <c r="F136" s="14"/>
    </row>
    <row r="137" spans="1:6" x14ac:dyDescent="0.35">
      <c r="B137" s="1" t="s">
        <v>784</v>
      </c>
      <c r="C137" s="14">
        <v>200</v>
      </c>
      <c r="D137" s="15">
        <v>11500</v>
      </c>
      <c r="E137" s="14">
        <v>12000</v>
      </c>
      <c r="F137" s="14">
        <v>12000</v>
      </c>
    </row>
    <row r="138" spans="1:6" x14ac:dyDescent="0.35">
      <c r="B138" s="1" t="s">
        <v>785</v>
      </c>
      <c r="C138" s="14">
        <v>150</v>
      </c>
      <c r="D138" s="15"/>
      <c r="E138" s="14">
        <v>200</v>
      </c>
      <c r="F138" s="14">
        <v>200</v>
      </c>
    </row>
    <row r="139" spans="1:6" x14ac:dyDescent="0.35">
      <c r="B139" s="1" t="s">
        <v>786</v>
      </c>
      <c r="C139" s="14">
        <v>500</v>
      </c>
      <c r="D139" s="15">
        <v>599.35</v>
      </c>
      <c r="E139" s="14">
        <v>800</v>
      </c>
      <c r="F139" s="14">
        <v>800</v>
      </c>
    </row>
    <row r="140" spans="1:6" x14ac:dyDescent="0.35">
      <c r="B140" s="1" t="s">
        <v>787</v>
      </c>
      <c r="C140" s="14">
        <v>100</v>
      </c>
      <c r="D140" s="15"/>
      <c r="E140" s="14">
        <v>100</v>
      </c>
      <c r="F140" s="14">
        <v>100</v>
      </c>
    </row>
    <row r="141" spans="1:6" x14ac:dyDescent="0.35">
      <c r="B141" s="1" t="s">
        <v>788</v>
      </c>
      <c r="C141" s="14">
        <v>500</v>
      </c>
      <c r="D141" s="15">
        <v>283</v>
      </c>
      <c r="E141" s="14">
        <v>500</v>
      </c>
      <c r="F141" s="14">
        <v>500</v>
      </c>
    </row>
    <row r="142" spans="1:6" x14ac:dyDescent="0.35">
      <c r="B142" s="1" t="s">
        <v>789</v>
      </c>
      <c r="C142" s="14">
        <v>2000</v>
      </c>
      <c r="D142" s="15">
        <v>1434</v>
      </c>
      <c r="E142" s="14">
        <v>2000</v>
      </c>
      <c r="F142" s="14">
        <v>2000</v>
      </c>
    </row>
    <row r="143" spans="1:6" x14ac:dyDescent="0.35">
      <c r="B143" s="1" t="s">
        <v>790</v>
      </c>
      <c r="C143" s="14">
        <v>500</v>
      </c>
      <c r="D143" s="14">
        <v>340.58</v>
      </c>
      <c r="E143" s="14">
        <v>500</v>
      </c>
      <c r="F143" s="14">
        <v>500</v>
      </c>
    </row>
    <row r="144" spans="1:6" x14ac:dyDescent="0.35">
      <c r="B144" s="1" t="s">
        <v>791</v>
      </c>
      <c r="C144" s="14">
        <v>3000</v>
      </c>
      <c r="D144" s="14"/>
      <c r="E144" s="14">
        <v>3000</v>
      </c>
      <c r="F144" s="14">
        <v>3000</v>
      </c>
    </row>
    <row r="145" spans="2:8" x14ac:dyDescent="0.35">
      <c r="B145" s="1" t="s">
        <v>792</v>
      </c>
      <c r="C145" s="14">
        <f>SUM(C137:C144)</f>
        <v>6950</v>
      </c>
      <c r="D145" s="14">
        <f>SUM(D137:D143)</f>
        <v>14156.93</v>
      </c>
      <c r="E145" s="14">
        <f>SUM(E137:E144)</f>
        <v>19100</v>
      </c>
      <c r="F145" s="14">
        <f>SUM(F137:F144)</f>
        <v>19100</v>
      </c>
    </row>
    <row r="146" spans="2:8" x14ac:dyDescent="0.35">
      <c r="B146" s="1" t="s">
        <v>793</v>
      </c>
      <c r="C146" s="14"/>
      <c r="D146" s="15"/>
      <c r="E146" s="14"/>
      <c r="F146" s="14"/>
    </row>
    <row r="147" spans="2:8" x14ac:dyDescent="0.35">
      <c r="B147" s="1" t="s">
        <v>794</v>
      </c>
      <c r="C147" s="14">
        <v>2500</v>
      </c>
      <c r="D147" s="15">
        <v>31</v>
      </c>
      <c r="E147" s="14">
        <v>2500</v>
      </c>
      <c r="F147" s="14">
        <v>2500</v>
      </c>
    </row>
    <row r="148" spans="2:8" x14ac:dyDescent="0.35">
      <c r="B148" s="1" t="s">
        <v>795</v>
      </c>
      <c r="C148" s="14">
        <v>2000</v>
      </c>
      <c r="D148" s="15">
        <v>9396</v>
      </c>
      <c r="E148" s="14">
        <v>2000</v>
      </c>
      <c r="F148" s="14">
        <v>2000</v>
      </c>
    </row>
    <row r="149" spans="2:8" x14ac:dyDescent="0.35">
      <c r="B149" s="1" t="s">
        <v>796</v>
      </c>
      <c r="C149" s="14">
        <v>4000</v>
      </c>
      <c r="D149" s="15">
        <v>1197.43</v>
      </c>
      <c r="E149" s="14">
        <v>4000</v>
      </c>
      <c r="F149" s="14">
        <v>4000</v>
      </c>
    </row>
    <row r="150" spans="2:8" x14ac:dyDescent="0.35">
      <c r="B150" s="1" t="s">
        <v>797</v>
      </c>
      <c r="C150" s="14">
        <v>500</v>
      </c>
      <c r="D150" s="15"/>
      <c r="E150" s="14">
        <v>500</v>
      </c>
      <c r="F150" s="14">
        <v>500</v>
      </c>
    </row>
    <row r="151" spans="2:8" x14ac:dyDescent="0.35">
      <c r="B151" s="1" t="s">
        <v>798</v>
      </c>
      <c r="C151" s="14">
        <v>4000</v>
      </c>
      <c r="D151" s="15">
        <f>176.8+4227.39</f>
        <v>4404.1900000000005</v>
      </c>
      <c r="E151" s="14">
        <v>5500</v>
      </c>
      <c r="F151" s="14">
        <v>5500</v>
      </c>
    </row>
    <row r="152" spans="2:8" x14ac:dyDescent="0.35">
      <c r="B152" s="1" t="s">
        <v>799</v>
      </c>
      <c r="C152" s="14">
        <f>SUM(C147:C151)</f>
        <v>13000</v>
      </c>
      <c r="D152" s="15">
        <f>SUM(D147:D151)</f>
        <v>15028.62</v>
      </c>
      <c r="E152" s="14">
        <f>SUM(E147:E151)</f>
        <v>14500</v>
      </c>
      <c r="F152" s="14">
        <f>SUM(F147:F151)</f>
        <v>14500</v>
      </c>
    </row>
    <row r="153" spans="2:8" x14ac:dyDescent="0.35">
      <c r="B153" s="1" t="s">
        <v>800</v>
      </c>
      <c r="C153" s="14"/>
      <c r="D153" s="15"/>
      <c r="E153" s="14"/>
      <c r="F153" s="14"/>
    </row>
    <row r="154" spans="2:8" x14ac:dyDescent="0.35">
      <c r="B154" s="1" t="s">
        <v>801</v>
      </c>
      <c r="C154" s="14">
        <v>300</v>
      </c>
      <c r="D154" s="15"/>
      <c r="E154" s="14">
        <v>300</v>
      </c>
      <c r="F154" s="14">
        <v>300</v>
      </c>
    </row>
    <row r="155" spans="2:8" x14ac:dyDescent="0.35">
      <c r="B155" s="1" t="s">
        <v>802</v>
      </c>
      <c r="C155" s="14">
        <v>100</v>
      </c>
      <c r="D155" s="15">
        <v>49.25</v>
      </c>
      <c r="E155" s="14">
        <v>100</v>
      </c>
      <c r="F155" s="14">
        <v>100</v>
      </c>
    </row>
    <row r="156" spans="2:8" x14ac:dyDescent="0.35">
      <c r="B156" s="1" t="s">
        <v>803</v>
      </c>
      <c r="C156" s="14">
        <v>26400</v>
      </c>
      <c r="D156" s="15">
        <v>9845</v>
      </c>
      <c r="E156" s="14">
        <v>26400</v>
      </c>
      <c r="F156" s="14">
        <v>26400</v>
      </c>
    </row>
    <row r="157" spans="2:8" x14ac:dyDescent="0.35">
      <c r="B157" s="1" t="s">
        <v>804</v>
      </c>
      <c r="C157" s="14">
        <v>800</v>
      </c>
      <c r="D157" s="15"/>
      <c r="E157" s="14">
        <v>800</v>
      </c>
      <c r="F157" s="14">
        <v>800</v>
      </c>
    </row>
    <row r="158" spans="2:8" x14ac:dyDescent="0.35">
      <c r="B158" s="1" t="s">
        <v>805</v>
      </c>
      <c r="C158" s="14">
        <v>1000</v>
      </c>
      <c r="D158" s="15">
        <f>2552-1670</f>
        <v>882</v>
      </c>
      <c r="E158" s="14">
        <v>1000</v>
      </c>
      <c r="F158" s="14">
        <v>1000</v>
      </c>
      <c r="H158" s="25"/>
    </row>
    <row r="159" spans="2:8" x14ac:dyDescent="0.35">
      <c r="B159" s="1" t="s">
        <v>806</v>
      </c>
      <c r="C159" s="14">
        <f>SUM(C154:C158)</f>
        <v>28600</v>
      </c>
      <c r="D159" s="14">
        <f>SUM(D154:D158)</f>
        <v>10776.25</v>
      </c>
      <c r="E159" s="14">
        <f>SUM(E154:E158)</f>
        <v>28600</v>
      </c>
      <c r="F159" s="14">
        <f>SUM(F154:F158)</f>
        <v>28600</v>
      </c>
      <c r="H159" s="26"/>
    </row>
    <row r="160" spans="2:8" x14ac:dyDescent="0.35">
      <c r="B160" s="1" t="s">
        <v>807</v>
      </c>
      <c r="C160" s="14">
        <f>+C159+C152+C145</f>
        <v>48550</v>
      </c>
      <c r="D160" s="15">
        <f>+D159+D152+D145</f>
        <v>39961.800000000003</v>
      </c>
      <c r="E160" s="14">
        <f>+E159+E152+E145</f>
        <v>62200</v>
      </c>
      <c r="F160" s="14">
        <f>+F159+F152+F145</f>
        <v>62200</v>
      </c>
      <c r="H160" s="25"/>
    </row>
    <row r="161" spans="1:6" x14ac:dyDescent="0.35">
      <c r="B161" s="1" t="s">
        <v>808</v>
      </c>
      <c r="C161" s="14">
        <v>-26400</v>
      </c>
      <c r="D161" s="15">
        <f>-520-17292.26</f>
        <v>-17812.259999999998</v>
      </c>
      <c r="E161" s="14">
        <v>-26400</v>
      </c>
      <c r="F161" s="14">
        <v>-26400</v>
      </c>
    </row>
    <row r="162" spans="1:6" x14ac:dyDescent="0.35">
      <c r="B162" s="2" t="s">
        <v>2513</v>
      </c>
      <c r="C162" s="16">
        <f>+C160+C161</f>
        <v>22150</v>
      </c>
      <c r="D162" s="16">
        <f>+D160+D161</f>
        <v>22149.540000000005</v>
      </c>
      <c r="E162" s="16">
        <f>+E160+E161</f>
        <v>35800</v>
      </c>
      <c r="F162" s="16">
        <f>+F160+F161</f>
        <v>35800</v>
      </c>
    </row>
    <row r="163" spans="1:6" x14ac:dyDescent="0.35">
      <c r="C163" s="10"/>
      <c r="D163" s="10"/>
      <c r="E163" s="10"/>
      <c r="F163" s="10"/>
    </row>
    <row r="164" spans="1:6" x14ac:dyDescent="0.35">
      <c r="C164" s="10"/>
      <c r="D164" s="10"/>
      <c r="E164" s="10"/>
      <c r="F164" s="10"/>
    </row>
    <row r="165" spans="1:6" ht="13.15" x14ac:dyDescent="0.4">
      <c r="A165" s="5" t="s">
        <v>809</v>
      </c>
      <c r="C165" s="10">
        <f>+C185</f>
        <v>263900</v>
      </c>
      <c r="D165" s="10">
        <f>+D185</f>
        <v>224639</v>
      </c>
      <c r="E165" s="10">
        <f>+E185</f>
        <v>262000</v>
      </c>
      <c r="F165" s="10">
        <f>+F185</f>
        <v>262000</v>
      </c>
    </row>
    <row r="166" spans="1:6" x14ac:dyDescent="0.35">
      <c r="C166" s="10"/>
      <c r="D166" s="10"/>
      <c r="E166" s="10"/>
      <c r="F166" s="10"/>
    </row>
    <row r="167" spans="1:6" ht="13.15" x14ac:dyDescent="0.4">
      <c r="B167" s="11" t="s">
        <v>810</v>
      </c>
      <c r="C167" s="12"/>
      <c r="D167" s="13"/>
      <c r="E167" s="12"/>
      <c r="F167" s="12"/>
    </row>
    <row r="168" spans="1:6" x14ac:dyDescent="0.35">
      <c r="B168" s="1" t="s">
        <v>2546</v>
      </c>
      <c r="C168" s="14">
        <v>5400</v>
      </c>
      <c r="D168" s="15">
        <v>5400</v>
      </c>
      <c r="E168" s="14">
        <v>5400</v>
      </c>
      <c r="F168" s="14">
        <v>5400</v>
      </c>
    </row>
    <row r="169" spans="1:6" x14ac:dyDescent="0.35">
      <c r="B169" s="1" t="s">
        <v>2547</v>
      </c>
      <c r="C169" s="14">
        <v>78000</v>
      </c>
      <c r="D169" s="15">
        <f>100952-15000</f>
        <v>85952</v>
      </c>
      <c r="E169" s="14">
        <v>78000</v>
      </c>
      <c r="F169" s="14">
        <v>78000</v>
      </c>
    </row>
    <row r="170" spans="1:6" x14ac:dyDescent="0.35">
      <c r="B170" s="1" t="s">
        <v>811</v>
      </c>
      <c r="C170" s="14">
        <v>0</v>
      </c>
      <c r="D170" s="15">
        <v>2262</v>
      </c>
      <c r="E170" s="14">
        <v>0</v>
      </c>
      <c r="F170" s="14">
        <v>0</v>
      </c>
    </row>
    <row r="171" spans="1:6" x14ac:dyDescent="0.35">
      <c r="B171" s="1" t="s">
        <v>812</v>
      </c>
      <c r="C171" s="14">
        <v>30000</v>
      </c>
      <c r="D171" s="15">
        <v>19261</v>
      </c>
      <c r="E171" s="14">
        <v>30000</v>
      </c>
      <c r="F171" s="14">
        <v>30000</v>
      </c>
    </row>
    <row r="172" spans="1:6" x14ac:dyDescent="0.35">
      <c r="B172" s="1" t="s">
        <v>813</v>
      </c>
      <c r="C172" s="14">
        <v>8000</v>
      </c>
      <c r="D172" s="15">
        <v>5845</v>
      </c>
      <c r="E172" s="14">
        <v>8000</v>
      </c>
      <c r="F172" s="14">
        <v>8000</v>
      </c>
    </row>
    <row r="173" spans="1:6" x14ac:dyDescent="0.35">
      <c r="B173" s="1" t="s">
        <v>814</v>
      </c>
      <c r="C173" s="14">
        <v>22500</v>
      </c>
      <c r="D173" s="15">
        <v>18366</v>
      </c>
      <c r="E173" s="14">
        <v>22500</v>
      </c>
      <c r="F173" s="14">
        <v>22500</v>
      </c>
    </row>
    <row r="174" spans="1:6" x14ac:dyDescent="0.35">
      <c r="B174" s="1" t="s">
        <v>815</v>
      </c>
      <c r="C174" s="14"/>
      <c r="D174" s="15"/>
      <c r="E174" s="14"/>
      <c r="F174" s="14"/>
    </row>
    <row r="175" spans="1:6" x14ac:dyDescent="0.35">
      <c r="B175" s="1" t="s">
        <v>816</v>
      </c>
      <c r="C175" s="14">
        <v>45000</v>
      </c>
      <c r="D175" s="15">
        <v>49125</v>
      </c>
      <c r="E175" s="14">
        <v>45000</v>
      </c>
      <c r="F175" s="14">
        <v>45000</v>
      </c>
    </row>
    <row r="176" spans="1:6" x14ac:dyDescent="0.35">
      <c r="B176" s="1" t="s">
        <v>817</v>
      </c>
      <c r="C176" s="14">
        <v>0</v>
      </c>
      <c r="D176" s="15"/>
      <c r="E176" s="14">
        <v>0</v>
      </c>
      <c r="F176" s="14">
        <v>0</v>
      </c>
    </row>
    <row r="177" spans="1:6" x14ac:dyDescent="0.35">
      <c r="B177" s="1" t="s">
        <v>818</v>
      </c>
      <c r="C177" s="14">
        <v>18000</v>
      </c>
      <c r="D177" s="15"/>
      <c r="E177" s="14">
        <v>18000</v>
      </c>
      <c r="F177" s="14">
        <v>18000</v>
      </c>
    </row>
    <row r="178" spans="1:6" x14ac:dyDescent="0.35">
      <c r="B178" s="1" t="s">
        <v>819</v>
      </c>
      <c r="C178" s="14">
        <v>18000</v>
      </c>
      <c r="D178" s="15">
        <v>23428</v>
      </c>
      <c r="E178" s="14">
        <v>18000</v>
      </c>
      <c r="F178" s="14">
        <v>18000</v>
      </c>
    </row>
    <row r="179" spans="1:6" x14ac:dyDescent="0.35">
      <c r="B179" s="1" t="s">
        <v>820</v>
      </c>
      <c r="C179" s="14">
        <v>0</v>
      </c>
      <c r="D179" s="15"/>
      <c r="E179" s="14">
        <v>0</v>
      </c>
      <c r="F179" s="14">
        <v>0</v>
      </c>
    </row>
    <row r="180" spans="1:6" x14ac:dyDescent="0.35">
      <c r="B180" s="1" t="s">
        <v>821</v>
      </c>
      <c r="C180" s="14">
        <v>24000</v>
      </c>
      <c r="D180" s="15"/>
      <c r="E180" s="14">
        <v>24000</v>
      </c>
      <c r="F180" s="14">
        <v>24000</v>
      </c>
    </row>
    <row r="181" spans="1:6" x14ac:dyDescent="0.35">
      <c r="B181" s="1" t="s">
        <v>822</v>
      </c>
      <c r="C181" s="14">
        <v>15000</v>
      </c>
      <c r="D181" s="15">
        <v>15000</v>
      </c>
      <c r="E181" s="14">
        <f>15000-1900</f>
        <v>13100</v>
      </c>
      <c r="F181" s="14">
        <f>15000-1900</f>
        <v>13100</v>
      </c>
    </row>
    <row r="182" spans="1:6" x14ac:dyDescent="0.35">
      <c r="B182" s="1" t="s">
        <v>1382</v>
      </c>
      <c r="C182" s="14">
        <f>SUM(C168:C181)</f>
        <v>263900</v>
      </c>
      <c r="D182" s="14">
        <f>SUM(D168:D181)</f>
        <v>224639</v>
      </c>
      <c r="E182" s="14">
        <f>SUM(E168:E181)</f>
        <v>262000</v>
      </c>
      <c r="F182" s="14">
        <f>SUM(F168:F181)</f>
        <v>262000</v>
      </c>
    </row>
    <row r="183" spans="1:6" x14ac:dyDescent="0.35">
      <c r="B183" s="1" t="s">
        <v>823</v>
      </c>
      <c r="C183" s="14">
        <v>0</v>
      </c>
      <c r="D183" s="15"/>
      <c r="E183" s="14">
        <v>0</v>
      </c>
      <c r="F183" s="14">
        <v>0</v>
      </c>
    </row>
    <row r="184" spans="1:6" x14ac:dyDescent="0.35">
      <c r="B184" s="1" t="s">
        <v>824</v>
      </c>
      <c r="C184" s="14">
        <v>0</v>
      </c>
      <c r="D184" s="15"/>
      <c r="E184" s="14">
        <v>0</v>
      </c>
      <c r="F184" s="14">
        <v>0</v>
      </c>
    </row>
    <row r="185" spans="1:6" x14ac:dyDescent="0.35">
      <c r="B185" s="2" t="s">
        <v>2513</v>
      </c>
      <c r="C185" s="16">
        <f>SUM(C182:C184)</f>
        <v>263900</v>
      </c>
      <c r="D185" s="16">
        <f>SUM(D182:D184)</f>
        <v>224639</v>
      </c>
      <c r="E185" s="16">
        <f>SUM(E182:E184)</f>
        <v>262000</v>
      </c>
      <c r="F185" s="16">
        <f>SUM(F182:F184)</f>
        <v>262000</v>
      </c>
    </row>
    <row r="186" spans="1:6" x14ac:dyDescent="0.35">
      <c r="C186" s="10"/>
      <c r="D186" s="10"/>
      <c r="E186" s="10"/>
      <c r="F186" s="10"/>
    </row>
    <row r="187" spans="1:6" ht="13.15" x14ac:dyDescent="0.4">
      <c r="A187" s="5" t="s">
        <v>825</v>
      </c>
      <c r="C187" s="10">
        <v>4650</v>
      </c>
      <c r="D187" s="10">
        <v>4582</v>
      </c>
      <c r="E187" s="10">
        <v>4000</v>
      </c>
      <c r="F187" s="10">
        <v>4000</v>
      </c>
    </row>
    <row r="188" spans="1:6" x14ac:dyDescent="0.35">
      <c r="C188" s="10"/>
      <c r="D188" s="10"/>
      <c r="E188" s="10"/>
      <c r="F188" s="10"/>
    </row>
    <row r="189" spans="1:6" ht="13.15" x14ac:dyDescent="0.4">
      <c r="A189" s="5" t="s">
        <v>826</v>
      </c>
      <c r="C189" s="10">
        <v>300</v>
      </c>
      <c r="D189" s="10">
        <v>140.36000000000001</v>
      </c>
      <c r="E189" s="10">
        <v>250</v>
      </c>
      <c r="F189" s="10">
        <v>250</v>
      </c>
    </row>
    <row r="190" spans="1:6" x14ac:dyDescent="0.35">
      <c r="C190" s="10"/>
      <c r="D190" s="10"/>
      <c r="E190" s="10"/>
      <c r="F190" s="10"/>
    </row>
    <row r="191" spans="1:6" x14ac:dyDescent="0.35">
      <c r="C191" s="10"/>
      <c r="D191" s="10"/>
      <c r="E191" s="10"/>
      <c r="F191" s="10"/>
    </row>
    <row r="192" spans="1:6" ht="13.15" x14ac:dyDescent="0.4">
      <c r="A192" s="5" t="s">
        <v>827</v>
      </c>
      <c r="C192" s="18">
        <f>+C189+C187+C165+C133+C131+C128</f>
        <v>300154</v>
      </c>
      <c r="D192" s="18">
        <f>+D189+D187+D165+D133+D131+D128</f>
        <v>256937.56</v>
      </c>
      <c r="E192" s="18">
        <f>+E189+E187+E165+E133+E131+E128</f>
        <v>309750</v>
      </c>
      <c r="F192" s="18">
        <f>+F189+F187+F165+F133+F131+F128</f>
        <v>309750</v>
      </c>
    </row>
    <row r="193" spans="1:6" x14ac:dyDescent="0.35">
      <c r="C193" s="10"/>
      <c r="D193" s="10"/>
      <c r="E193" s="10"/>
      <c r="F193" s="10"/>
    </row>
    <row r="194" spans="1:6" ht="13.15" x14ac:dyDescent="0.4">
      <c r="A194" s="5" t="s">
        <v>828</v>
      </c>
      <c r="C194" s="10">
        <v>100</v>
      </c>
      <c r="D194" s="10"/>
      <c r="E194" s="10"/>
      <c r="F194" s="10"/>
    </row>
    <row r="195" spans="1:6" x14ac:dyDescent="0.35">
      <c r="C195" s="10"/>
      <c r="D195" s="10"/>
      <c r="E195" s="10"/>
      <c r="F195" s="10"/>
    </row>
    <row r="196" spans="1:6" ht="13.15" x14ac:dyDescent="0.4">
      <c r="A196" s="5" t="s">
        <v>829</v>
      </c>
      <c r="C196" s="10">
        <f>+C236</f>
        <v>-26381</v>
      </c>
      <c r="D196" s="10">
        <f>+D236</f>
        <v>-14228.26999999999</v>
      </c>
      <c r="E196" s="10">
        <f>+E236</f>
        <v>-5500</v>
      </c>
      <c r="F196" s="10">
        <f>+F236</f>
        <v>-5500</v>
      </c>
    </row>
    <row r="197" spans="1:6" x14ac:dyDescent="0.35">
      <c r="C197" s="10"/>
      <c r="D197" s="10"/>
      <c r="E197" s="10"/>
      <c r="F197" s="10"/>
    </row>
    <row r="198" spans="1:6" x14ac:dyDescent="0.35">
      <c r="C198" s="10"/>
      <c r="D198" s="10"/>
      <c r="E198" s="10"/>
      <c r="F198" s="10"/>
    </row>
    <row r="199" spans="1:6" ht="13.15" x14ac:dyDescent="0.4">
      <c r="B199" s="11" t="s">
        <v>830</v>
      </c>
      <c r="C199" s="12"/>
      <c r="D199" s="20"/>
      <c r="E199" s="12"/>
      <c r="F199" s="12"/>
    </row>
    <row r="200" spans="1:6" x14ac:dyDescent="0.35">
      <c r="B200" s="1" t="s">
        <v>831</v>
      </c>
      <c r="C200" s="14"/>
      <c r="D200" s="21"/>
      <c r="E200" s="14"/>
      <c r="F200" s="14"/>
    </row>
    <row r="201" spans="1:6" x14ac:dyDescent="0.35">
      <c r="B201" s="1" t="s">
        <v>832</v>
      </c>
      <c r="C201" s="14">
        <v>3500</v>
      </c>
      <c r="D201" s="21">
        <v>3500</v>
      </c>
      <c r="E201" s="14">
        <v>4500</v>
      </c>
      <c r="F201" s="14">
        <v>4500</v>
      </c>
    </row>
    <row r="202" spans="1:6" x14ac:dyDescent="0.35">
      <c r="B202" s="1" t="s">
        <v>833</v>
      </c>
      <c r="C202" s="14"/>
      <c r="D202" s="21"/>
      <c r="E202" s="14"/>
      <c r="F202" s="14"/>
    </row>
    <row r="203" spans="1:6" x14ac:dyDescent="0.35">
      <c r="B203" s="1" t="s">
        <v>834</v>
      </c>
      <c r="C203" s="14">
        <v>1000</v>
      </c>
      <c r="D203" s="21"/>
      <c r="E203" s="14">
        <v>1000</v>
      </c>
      <c r="F203" s="14">
        <v>1000</v>
      </c>
    </row>
    <row r="204" spans="1:6" x14ac:dyDescent="0.35">
      <c r="B204" s="1" t="s">
        <v>835</v>
      </c>
      <c r="C204" s="14">
        <v>500</v>
      </c>
      <c r="D204" s="21">
        <v>1608.45</v>
      </c>
      <c r="E204" s="14">
        <v>500</v>
      </c>
      <c r="F204" s="14">
        <v>500</v>
      </c>
    </row>
    <row r="205" spans="1:6" x14ac:dyDescent="0.35">
      <c r="B205" s="1" t="s">
        <v>836</v>
      </c>
      <c r="C205" s="14">
        <v>4500</v>
      </c>
      <c r="D205" s="21"/>
      <c r="E205" s="14">
        <v>4500</v>
      </c>
      <c r="F205" s="14">
        <v>4500</v>
      </c>
    </row>
    <row r="206" spans="1:6" x14ac:dyDescent="0.35">
      <c r="B206" s="1" t="s">
        <v>837</v>
      </c>
      <c r="C206" s="14">
        <f>38000-2400</f>
        <v>35600</v>
      </c>
      <c r="D206" s="21">
        <v>37127.360000000001</v>
      </c>
      <c r="E206" s="14">
        <f>38000-2400</f>
        <v>35600</v>
      </c>
      <c r="F206" s="14">
        <f>38000-2400</f>
        <v>35600</v>
      </c>
    </row>
    <row r="207" spans="1:6" x14ac:dyDescent="0.35">
      <c r="B207" s="1" t="s">
        <v>838</v>
      </c>
      <c r="C207" s="14">
        <v>10000</v>
      </c>
      <c r="D207" s="21">
        <v>14378.92</v>
      </c>
      <c r="E207" s="14">
        <v>10000</v>
      </c>
      <c r="F207" s="14">
        <v>10000</v>
      </c>
    </row>
    <row r="208" spans="1:6" x14ac:dyDescent="0.35">
      <c r="B208" s="1" t="s">
        <v>839</v>
      </c>
      <c r="C208" s="14">
        <v>2000</v>
      </c>
      <c r="D208" s="21"/>
      <c r="E208" s="14">
        <v>2000</v>
      </c>
      <c r="F208" s="14">
        <v>2000</v>
      </c>
    </row>
    <row r="209" spans="2:6" x14ac:dyDescent="0.35">
      <c r="B209" s="1" t="s">
        <v>840</v>
      </c>
      <c r="C209" s="14">
        <v>56</v>
      </c>
      <c r="D209" s="21"/>
      <c r="E209" s="14">
        <v>56</v>
      </c>
      <c r="F209" s="14">
        <v>56</v>
      </c>
    </row>
    <row r="210" spans="2:6" x14ac:dyDescent="0.35">
      <c r="B210" s="1" t="s">
        <v>841</v>
      </c>
      <c r="C210" s="14">
        <v>35000</v>
      </c>
      <c r="D210" s="21">
        <v>30608.19</v>
      </c>
      <c r="E210" s="14">
        <v>35000</v>
      </c>
      <c r="F210" s="14">
        <v>35000</v>
      </c>
    </row>
    <row r="211" spans="2:6" x14ac:dyDescent="0.35">
      <c r="B211" s="1" t="s">
        <v>842</v>
      </c>
      <c r="C211" s="14">
        <v>37000</v>
      </c>
      <c r="D211" s="21">
        <v>27430</v>
      </c>
      <c r="E211" s="14">
        <v>42000</v>
      </c>
      <c r="F211" s="14">
        <v>42000</v>
      </c>
    </row>
    <row r="212" spans="2:6" x14ac:dyDescent="0.35">
      <c r="B212" s="1" t="s">
        <v>843</v>
      </c>
      <c r="C212" s="14">
        <v>600</v>
      </c>
      <c r="D212" s="21"/>
      <c r="E212" s="14">
        <v>600</v>
      </c>
      <c r="F212" s="14">
        <v>600</v>
      </c>
    </row>
    <row r="213" spans="2:6" x14ac:dyDescent="0.35">
      <c r="B213" s="1" t="s">
        <v>844</v>
      </c>
      <c r="C213" s="14">
        <v>15000</v>
      </c>
      <c r="D213" s="21">
        <v>15085.49</v>
      </c>
      <c r="E213" s="14">
        <v>15000</v>
      </c>
      <c r="F213" s="14">
        <v>15000</v>
      </c>
    </row>
    <row r="214" spans="2:6" x14ac:dyDescent="0.35">
      <c r="B214" s="1" t="s">
        <v>845</v>
      </c>
      <c r="C214" s="14">
        <v>500</v>
      </c>
      <c r="D214" s="21">
        <v>6791.79</v>
      </c>
      <c r="E214" s="14">
        <v>500</v>
      </c>
      <c r="F214" s="14">
        <v>500</v>
      </c>
    </row>
    <row r="215" spans="2:6" x14ac:dyDescent="0.35">
      <c r="B215" s="1" t="s">
        <v>846</v>
      </c>
      <c r="C215" s="14">
        <v>500</v>
      </c>
      <c r="D215" s="21"/>
      <c r="E215" s="14">
        <v>500</v>
      </c>
      <c r="F215" s="14">
        <v>500</v>
      </c>
    </row>
    <row r="216" spans="2:6" x14ac:dyDescent="0.35">
      <c r="B216" s="1" t="s">
        <v>847</v>
      </c>
      <c r="C216" s="14">
        <f>45000+838</f>
        <v>45838</v>
      </c>
      <c r="D216" s="21">
        <f>52911.53-7000-40000+39231</f>
        <v>45142.53</v>
      </c>
      <c r="E216" s="14">
        <v>45000</v>
      </c>
      <c r="F216" s="14">
        <v>45000</v>
      </c>
    </row>
    <row r="217" spans="2:6" x14ac:dyDescent="0.35">
      <c r="B217" s="1" t="s">
        <v>848</v>
      </c>
      <c r="C217" s="14">
        <v>10000</v>
      </c>
      <c r="D217" s="21"/>
      <c r="E217" s="14">
        <f>26000-5500</f>
        <v>20500</v>
      </c>
      <c r="F217" s="14">
        <v>20500</v>
      </c>
    </row>
    <row r="218" spans="2:6" x14ac:dyDescent="0.35">
      <c r="B218" s="1" t="s">
        <v>849</v>
      </c>
      <c r="C218" s="14">
        <v>4000</v>
      </c>
      <c r="D218" s="21">
        <v>12314</v>
      </c>
      <c r="E218" s="14">
        <v>4000</v>
      </c>
      <c r="F218" s="14">
        <v>4000</v>
      </c>
    </row>
    <row r="219" spans="2:6" x14ac:dyDescent="0.35">
      <c r="B219" s="1" t="s">
        <v>850</v>
      </c>
      <c r="C219" s="14">
        <f>7000+1000+2000</f>
        <v>10000</v>
      </c>
      <c r="D219" s="21">
        <v>9142.2999999999993</v>
      </c>
      <c r="E219" s="14">
        <v>10000</v>
      </c>
      <c r="F219" s="14">
        <v>10000</v>
      </c>
    </row>
    <row r="220" spans="2:6" x14ac:dyDescent="0.35">
      <c r="B220" s="1" t="s">
        <v>851</v>
      </c>
      <c r="C220" s="14">
        <v>3000</v>
      </c>
      <c r="D220" s="21">
        <v>3168.42</v>
      </c>
      <c r="E220" s="14">
        <v>3000</v>
      </c>
      <c r="F220" s="14">
        <v>3000</v>
      </c>
    </row>
    <row r="221" spans="2:6" x14ac:dyDescent="0.35">
      <c r="B221" s="1" t="s">
        <v>852</v>
      </c>
      <c r="C221" s="14">
        <v>10000</v>
      </c>
      <c r="D221" s="21">
        <f>5503.33+4696.93</f>
        <v>10200.26</v>
      </c>
      <c r="E221" s="14">
        <v>15219</v>
      </c>
      <c r="F221" s="14">
        <v>15219</v>
      </c>
    </row>
    <row r="222" spans="2:6" x14ac:dyDescent="0.35">
      <c r="B222" s="1" t="s">
        <v>853</v>
      </c>
      <c r="C222" s="14">
        <v>1250</v>
      </c>
      <c r="D222" s="21"/>
      <c r="E222" s="14">
        <v>1250</v>
      </c>
      <c r="F222" s="14">
        <v>1250</v>
      </c>
    </row>
    <row r="223" spans="2:6" x14ac:dyDescent="0.35">
      <c r="B223" s="1" t="s">
        <v>854</v>
      </c>
      <c r="C223" s="14"/>
      <c r="D223" s="21"/>
      <c r="E223" s="14"/>
      <c r="F223" s="14"/>
    </row>
    <row r="224" spans="2:6" x14ac:dyDescent="0.35">
      <c r="B224" s="1" t="s">
        <v>1394</v>
      </c>
      <c r="C224" s="14"/>
      <c r="D224" s="21">
        <v>9655.2999999999993</v>
      </c>
      <c r="E224" s="14"/>
      <c r="F224" s="14"/>
    </row>
    <row r="225" spans="1:8" x14ac:dyDescent="0.35">
      <c r="B225" s="1" t="s">
        <v>1395</v>
      </c>
      <c r="C225" s="14"/>
      <c r="D225" s="21"/>
      <c r="E225" s="14"/>
      <c r="F225" s="14"/>
    </row>
    <row r="226" spans="1:8" x14ac:dyDescent="0.35">
      <c r="B226" s="1" t="s">
        <v>855</v>
      </c>
      <c r="C226" s="14"/>
      <c r="E226" s="14"/>
      <c r="F226" s="14"/>
    </row>
    <row r="227" spans="1:8" x14ac:dyDescent="0.35">
      <c r="B227" s="1" t="s">
        <v>2532</v>
      </c>
      <c r="C227" s="14">
        <f>SUM(C201:C226)</f>
        <v>229844</v>
      </c>
      <c r="D227" s="21">
        <f>SUM(D201:D225)</f>
        <v>226153.01</v>
      </c>
      <c r="E227" s="14">
        <f>SUM(E201:E226)</f>
        <v>250725</v>
      </c>
      <c r="F227" s="14">
        <f>SUM(F201:F226)</f>
        <v>250725</v>
      </c>
    </row>
    <row r="228" spans="1:8" x14ac:dyDescent="0.35">
      <c r="B228" s="1" t="s">
        <v>856</v>
      </c>
      <c r="C228" s="14"/>
      <c r="D228" s="21"/>
      <c r="E228" s="14"/>
      <c r="F228" s="14"/>
    </row>
    <row r="229" spans="1:8" x14ac:dyDescent="0.35">
      <c r="B229" s="1" t="s">
        <v>857</v>
      </c>
      <c r="C229" s="14">
        <v>-15000</v>
      </c>
      <c r="D229" s="21">
        <f>-22577-5339+864.21</f>
        <v>-27051.79</v>
      </c>
      <c r="E229" s="14">
        <v>-15000</v>
      </c>
      <c r="F229" s="14">
        <v>-15000</v>
      </c>
    </row>
    <row r="230" spans="1:8" x14ac:dyDescent="0.35">
      <c r="B230" s="1" t="s">
        <v>858</v>
      </c>
      <c r="C230" s="14">
        <v>-100</v>
      </c>
      <c r="D230" s="21"/>
      <c r="E230" s="14">
        <v>-100</v>
      </c>
      <c r="F230" s="14">
        <v>-100</v>
      </c>
    </row>
    <row r="231" spans="1:8" x14ac:dyDescent="0.35">
      <c r="B231" s="1" t="s">
        <v>859</v>
      </c>
      <c r="C231" s="14">
        <v>-32000</v>
      </c>
      <c r="D231" s="21">
        <v>-15447.25</v>
      </c>
      <c r="E231" s="14">
        <v>-32000</v>
      </c>
      <c r="F231" s="14">
        <v>-32000</v>
      </c>
    </row>
    <row r="232" spans="1:8" x14ac:dyDescent="0.35">
      <c r="B232" s="1" t="s">
        <v>860</v>
      </c>
      <c r="C232" s="14">
        <v>-20000</v>
      </c>
      <c r="D232" s="21">
        <v>-8487.24</v>
      </c>
      <c r="E232" s="14">
        <v>-20000</v>
      </c>
      <c r="F232" s="14">
        <v>-20000</v>
      </c>
    </row>
    <row r="233" spans="1:8" x14ac:dyDescent="0.35">
      <c r="B233" s="1" t="s">
        <v>861</v>
      </c>
      <c r="C233" s="14">
        <v>-7000</v>
      </c>
      <c r="D233" s="21">
        <v>-7000</v>
      </c>
      <c r="E233" s="14">
        <v>-7000</v>
      </c>
      <c r="F233" s="14">
        <v>-7000</v>
      </c>
    </row>
    <row r="234" spans="1:8" x14ac:dyDescent="0.35">
      <c r="B234" s="1" t="s">
        <v>862</v>
      </c>
      <c r="C234" s="14">
        <f>-165000-17125</f>
        <v>-182125</v>
      </c>
      <c r="D234" s="21">
        <v>-182395</v>
      </c>
      <c r="E234" s="14">
        <f>-165000-17125</f>
        <v>-182125</v>
      </c>
      <c r="F234" s="14">
        <f>-165000-17125</f>
        <v>-182125</v>
      </c>
      <c r="H234" s="25"/>
    </row>
    <row r="235" spans="1:8" x14ac:dyDescent="0.35">
      <c r="B235" s="1" t="s">
        <v>863</v>
      </c>
      <c r="C235" s="14">
        <f>SUM(C229:C234)</f>
        <v>-256225</v>
      </c>
      <c r="D235" s="21">
        <f>SUM(D229:D234)</f>
        <v>-240381.28</v>
      </c>
      <c r="E235" s="14">
        <f>SUM(E229:E234)</f>
        <v>-256225</v>
      </c>
      <c r="F235" s="14">
        <f>SUM(F229:F234)</f>
        <v>-256225</v>
      </c>
      <c r="H235" s="25"/>
    </row>
    <row r="236" spans="1:8" x14ac:dyDescent="0.35">
      <c r="B236" s="2" t="s">
        <v>2513</v>
      </c>
      <c r="C236" s="16">
        <f>+C235+C227</f>
        <v>-26381</v>
      </c>
      <c r="D236" s="22">
        <f>+D235+D227</f>
        <v>-14228.26999999999</v>
      </c>
      <c r="E236" s="16">
        <f>+E235+E227</f>
        <v>-5500</v>
      </c>
      <c r="F236" s="16">
        <f>+F235+F227</f>
        <v>-5500</v>
      </c>
    </row>
    <row r="237" spans="1:8" x14ac:dyDescent="0.35">
      <c r="C237" s="10"/>
      <c r="D237" s="10"/>
      <c r="E237" s="10"/>
      <c r="F237" s="10"/>
    </row>
    <row r="238" spans="1:8" ht="13.15" x14ac:dyDescent="0.4">
      <c r="A238" s="5" t="s">
        <v>864</v>
      </c>
      <c r="C238" s="10">
        <v>20000</v>
      </c>
      <c r="D238" s="10">
        <v>20000</v>
      </c>
      <c r="E238" s="10">
        <v>24000</v>
      </c>
      <c r="F238" s="10">
        <v>24000</v>
      </c>
    </row>
    <row r="239" spans="1:8" x14ac:dyDescent="0.35">
      <c r="C239" s="10"/>
      <c r="D239" s="10"/>
      <c r="E239" s="10"/>
      <c r="F239" s="10"/>
    </row>
    <row r="240" spans="1:8" ht="13.15" x14ac:dyDescent="0.4">
      <c r="A240" s="5" t="s">
        <v>865</v>
      </c>
      <c r="C240" s="10">
        <v>20000</v>
      </c>
      <c r="D240" s="10">
        <v>20000</v>
      </c>
      <c r="E240" s="10">
        <v>24000</v>
      </c>
      <c r="F240" s="10">
        <v>24000</v>
      </c>
    </row>
    <row r="241" spans="1:8" x14ac:dyDescent="0.35">
      <c r="C241" s="10"/>
      <c r="D241" s="10"/>
      <c r="E241" s="10"/>
      <c r="F241" s="10"/>
    </row>
    <row r="242" spans="1:8" ht="13.15" x14ac:dyDescent="0.4">
      <c r="A242" s="5" t="s">
        <v>866</v>
      </c>
      <c r="C242" s="10">
        <v>4800</v>
      </c>
      <c r="D242" s="10">
        <v>5020</v>
      </c>
      <c r="E242" s="10">
        <v>3500</v>
      </c>
      <c r="F242" s="10">
        <v>3500</v>
      </c>
    </row>
    <row r="243" spans="1:8" x14ac:dyDescent="0.35">
      <c r="C243" s="10"/>
      <c r="D243" s="10"/>
      <c r="E243" s="10"/>
      <c r="F243" s="10"/>
    </row>
    <row r="244" spans="1:8" ht="13.15" x14ac:dyDescent="0.4">
      <c r="A244" s="5" t="s">
        <v>867</v>
      </c>
      <c r="C244" s="10">
        <f>+C278</f>
        <v>190000</v>
      </c>
      <c r="D244" s="10">
        <f>+D278</f>
        <v>189999.72000000003</v>
      </c>
      <c r="E244" s="10">
        <f>+E278</f>
        <v>175000</v>
      </c>
      <c r="F244" s="10">
        <f>+F278</f>
        <v>175000</v>
      </c>
    </row>
    <row r="245" spans="1:8" ht="13.15" x14ac:dyDescent="0.4">
      <c r="B245" s="11" t="s">
        <v>868</v>
      </c>
      <c r="C245" s="12"/>
      <c r="D245" s="20"/>
      <c r="E245" s="12"/>
      <c r="F245" s="12"/>
    </row>
    <row r="246" spans="1:8" x14ac:dyDescent="0.35">
      <c r="B246" s="1" t="s">
        <v>869</v>
      </c>
      <c r="C246" s="14"/>
      <c r="D246" s="21"/>
      <c r="E246" s="14"/>
      <c r="F246" s="14"/>
    </row>
    <row r="247" spans="1:8" x14ac:dyDescent="0.35">
      <c r="B247" s="1" t="s">
        <v>870</v>
      </c>
      <c r="C247" s="14"/>
      <c r="D247" s="21"/>
      <c r="E247" s="14"/>
      <c r="F247" s="14"/>
    </row>
    <row r="248" spans="1:8" x14ac:dyDescent="0.35">
      <c r="B248" s="1" t="s">
        <v>871</v>
      </c>
      <c r="C248" s="14">
        <v>23516</v>
      </c>
      <c r="D248" s="21">
        <v>24248</v>
      </c>
      <c r="E248" s="14">
        <v>23516</v>
      </c>
      <c r="F248" s="14">
        <v>23516</v>
      </c>
    </row>
    <row r="249" spans="1:8" x14ac:dyDescent="0.35">
      <c r="B249" s="1" t="s">
        <v>872</v>
      </c>
      <c r="C249" s="14">
        <v>-13000</v>
      </c>
      <c r="D249" s="21">
        <v>-10000</v>
      </c>
      <c r="E249" s="14">
        <v>-13000</v>
      </c>
      <c r="F249" s="14">
        <v>-13000</v>
      </c>
    </row>
    <row r="250" spans="1:8" x14ac:dyDescent="0.35">
      <c r="B250" s="1" t="s">
        <v>873</v>
      </c>
      <c r="C250" s="14">
        <v>-6516</v>
      </c>
      <c r="D250" s="21"/>
      <c r="E250" s="14">
        <v>-6516</v>
      </c>
      <c r="F250" s="14">
        <v>-6516</v>
      </c>
      <c r="H250" s="25"/>
    </row>
    <row r="251" spans="1:8" x14ac:dyDescent="0.35">
      <c r="B251" s="1" t="s">
        <v>874</v>
      </c>
      <c r="C251" s="14">
        <v>-4000</v>
      </c>
      <c r="D251" s="21">
        <v>-5063.66</v>
      </c>
      <c r="E251" s="14">
        <v>-4000</v>
      </c>
      <c r="F251" s="14">
        <v>-4000</v>
      </c>
    </row>
    <row r="252" spans="1:8" x14ac:dyDescent="0.35">
      <c r="B252" s="1" t="s">
        <v>875</v>
      </c>
      <c r="C252" s="14"/>
      <c r="D252" s="21"/>
      <c r="E252" s="14"/>
      <c r="F252" s="14"/>
    </row>
    <row r="253" spans="1:8" x14ac:dyDescent="0.35">
      <c r="B253" s="1" t="s">
        <v>876</v>
      </c>
      <c r="C253" s="14">
        <v>93830</v>
      </c>
      <c r="D253" s="21">
        <v>94742.43</v>
      </c>
      <c r="E253" s="14">
        <v>85000</v>
      </c>
      <c r="F253" s="14">
        <v>85000</v>
      </c>
    </row>
    <row r="254" spans="1:8" x14ac:dyDescent="0.35">
      <c r="B254" s="1" t="s">
        <v>877</v>
      </c>
      <c r="C254" s="14"/>
      <c r="D254" s="21"/>
      <c r="E254" s="14"/>
      <c r="F254" s="14"/>
    </row>
    <row r="255" spans="1:8" x14ac:dyDescent="0.35">
      <c r="B255" s="1" t="s">
        <v>878</v>
      </c>
      <c r="C255" s="14">
        <v>16284</v>
      </c>
      <c r="D255" s="21">
        <v>17407.310000000001</v>
      </c>
      <c r="E255" s="14">
        <v>16284</v>
      </c>
      <c r="F255" s="14">
        <v>16284</v>
      </c>
    </row>
    <row r="256" spans="1:8" x14ac:dyDescent="0.35">
      <c r="B256" s="1" t="s">
        <v>879</v>
      </c>
      <c r="C256" s="14">
        <v>7000</v>
      </c>
      <c r="D256" s="21">
        <f>13799-5900</f>
        <v>7899</v>
      </c>
      <c r="E256" s="14">
        <v>7000</v>
      </c>
      <c r="F256" s="14">
        <v>7000</v>
      </c>
    </row>
    <row r="257" spans="2:6" x14ac:dyDescent="0.35">
      <c r="B257" s="1" t="s">
        <v>880</v>
      </c>
      <c r="C257" s="14">
        <v>8070</v>
      </c>
      <c r="D257" s="21">
        <f>18731-12000</f>
        <v>6731</v>
      </c>
      <c r="E257" s="14">
        <v>8070</v>
      </c>
      <c r="F257" s="14">
        <v>8070</v>
      </c>
    </row>
    <row r="258" spans="2:6" x14ac:dyDescent="0.35">
      <c r="B258" s="1" t="s">
        <v>881</v>
      </c>
      <c r="C258" s="14">
        <v>5900</v>
      </c>
      <c r="D258" s="21">
        <v>5900</v>
      </c>
      <c r="E258" s="14">
        <v>5900</v>
      </c>
      <c r="F258" s="14">
        <v>5900</v>
      </c>
    </row>
    <row r="259" spans="2:6" x14ac:dyDescent="0.35">
      <c r="B259" s="1" t="s">
        <v>882</v>
      </c>
      <c r="C259" s="14">
        <v>12000</v>
      </c>
      <c r="D259" s="21">
        <v>12000</v>
      </c>
      <c r="E259" s="14">
        <v>12000</v>
      </c>
      <c r="F259" s="14">
        <v>12000</v>
      </c>
    </row>
    <row r="260" spans="2:6" x14ac:dyDescent="0.35">
      <c r="B260" s="1" t="s">
        <v>883</v>
      </c>
      <c r="C260" s="14">
        <v>13500</v>
      </c>
      <c r="D260" s="21">
        <v>7348.23</v>
      </c>
      <c r="E260" s="14">
        <v>13500</v>
      </c>
      <c r="F260" s="14">
        <v>13500</v>
      </c>
    </row>
    <row r="261" spans="2:6" x14ac:dyDescent="0.35">
      <c r="B261" s="1" t="s">
        <v>884</v>
      </c>
      <c r="C261" s="14">
        <v>15000</v>
      </c>
      <c r="D261" s="21">
        <v>17732.240000000002</v>
      </c>
      <c r="E261" s="14">
        <v>15000</v>
      </c>
      <c r="F261" s="14">
        <v>15000</v>
      </c>
    </row>
    <row r="262" spans="2:6" x14ac:dyDescent="0.35">
      <c r="B262" s="1" t="s">
        <v>885</v>
      </c>
      <c r="C262" s="14">
        <v>425</v>
      </c>
      <c r="D262" s="21"/>
      <c r="E262" s="14">
        <v>425</v>
      </c>
      <c r="F262" s="14">
        <v>425</v>
      </c>
    </row>
    <row r="263" spans="2:6" x14ac:dyDescent="0.35">
      <c r="B263" s="1" t="s">
        <v>886</v>
      </c>
      <c r="C263" s="14">
        <v>3500</v>
      </c>
      <c r="D263" s="21">
        <v>852</v>
      </c>
      <c r="E263" s="14">
        <v>3500</v>
      </c>
      <c r="F263" s="14">
        <v>3500</v>
      </c>
    </row>
    <row r="264" spans="2:6" x14ac:dyDescent="0.35">
      <c r="B264" s="1" t="s">
        <v>887</v>
      </c>
      <c r="C264" s="14"/>
      <c r="D264" s="21"/>
      <c r="E264" s="14"/>
      <c r="F264" s="14"/>
    </row>
    <row r="265" spans="2:6" x14ac:dyDescent="0.35">
      <c r="B265" s="1" t="s">
        <v>888</v>
      </c>
      <c r="C265" s="14">
        <v>100</v>
      </c>
      <c r="D265" s="21">
        <v>111.25</v>
      </c>
      <c r="E265" s="14">
        <v>100</v>
      </c>
      <c r="F265" s="14">
        <v>100</v>
      </c>
    </row>
    <row r="266" spans="2:6" x14ac:dyDescent="0.35">
      <c r="B266" s="1" t="s">
        <v>889</v>
      </c>
      <c r="C266" s="14">
        <v>20765</v>
      </c>
      <c r="D266" s="21">
        <f>8770+2039.5+1902.55+2571.38+29265.4</f>
        <v>44548.83</v>
      </c>
      <c r="E266" s="14">
        <v>14595</v>
      </c>
      <c r="F266" s="14">
        <v>14595</v>
      </c>
    </row>
    <row r="267" spans="2:6" x14ac:dyDescent="0.35">
      <c r="B267" s="1" t="s">
        <v>890</v>
      </c>
      <c r="C267" s="14">
        <v>17500</v>
      </c>
      <c r="D267" s="21">
        <v>17500</v>
      </c>
      <c r="E267" s="14">
        <v>17500</v>
      </c>
      <c r="F267" s="14">
        <v>17500</v>
      </c>
    </row>
    <row r="268" spans="2:6" x14ac:dyDescent="0.35">
      <c r="B268" s="1" t="s">
        <v>891</v>
      </c>
      <c r="C268" s="14">
        <v>4197</v>
      </c>
      <c r="D268" s="21">
        <f>107.08+1007.18</f>
        <v>1114.26</v>
      </c>
      <c r="E268" s="14">
        <v>4197</v>
      </c>
      <c r="F268" s="14">
        <v>4197</v>
      </c>
    </row>
    <row r="269" spans="2:6" x14ac:dyDescent="0.35">
      <c r="B269" s="1" t="s">
        <v>892</v>
      </c>
      <c r="C269" s="14">
        <v>0</v>
      </c>
      <c r="D269" s="21"/>
      <c r="E269" s="14">
        <v>0</v>
      </c>
      <c r="F269" s="14">
        <v>0</v>
      </c>
    </row>
    <row r="270" spans="2:6" x14ac:dyDescent="0.35">
      <c r="B270" s="1" t="s">
        <v>893</v>
      </c>
      <c r="C270" s="14">
        <v>6600</v>
      </c>
      <c r="D270" s="21"/>
      <c r="E270" s="14">
        <v>6600</v>
      </c>
      <c r="F270" s="14">
        <v>6600</v>
      </c>
    </row>
    <row r="271" spans="2:6" x14ac:dyDescent="0.35">
      <c r="B271" s="1" t="s">
        <v>894</v>
      </c>
      <c r="C271" s="14">
        <v>4500</v>
      </c>
      <c r="D271" s="21">
        <v>1245.25</v>
      </c>
      <c r="E271" s="14">
        <v>4500</v>
      </c>
      <c r="F271" s="14">
        <v>4500</v>
      </c>
    </row>
    <row r="272" spans="2:6" x14ac:dyDescent="0.35">
      <c r="B272" s="1" t="s">
        <v>1396</v>
      </c>
      <c r="C272" s="14"/>
      <c r="D272" s="21"/>
      <c r="E272" s="14"/>
      <c r="F272" s="14"/>
    </row>
    <row r="273" spans="1:6" x14ac:dyDescent="0.35">
      <c r="B273" s="23" t="s">
        <v>895</v>
      </c>
      <c r="C273" s="14">
        <v>650</v>
      </c>
      <c r="D273" s="21">
        <v>1245.25</v>
      </c>
      <c r="E273" s="14">
        <v>650</v>
      </c>
      <c r="F273" s="14">
        <v>650</v>
      </c>
    </row>
    <row r="274" spans="1:6" x14ac:dyDescent="0.35">
      <c r="B274" s="1" t="s">
        <v>896</v>
      </c>
      <c r="C274" s="14">
        <f>SUM(C248:C273)</f>
        <v>229821</v>
      </c>
      <c r="D274" s="21">
        <f>SUM(D248:D273)</f>
        <v>245561.39</v>
      </c>
      <c r="E274" s="14">
        <f>SUM(E248:E273)</f>
        <v>214821</v>
      </c>
      <c r="F274" s="14">
        <f>SUM(F248:F273)</f>
        <v>214821</v>
      </c>
    </row>
    <row r="275" spans="1:6" x14ac:dyDescent="0.35">
      <c r="B275" s="1" t="s">
        <v>897</v>
      </c>
      <c r="C275" s="14">
        <f>-8700-31121</f>
        <v>-39821</v>
      </c>
      <c r="D275" s="21">
        <f>-9425-30550.3</f>
        <v>-39975.300000000003</v>
      </c>
      <c r="E275" s="14">
        <f>-8700-31121</f>
        <v>-39821</v>
      </c>
      <c r="F275" s="14">
        <f>-8700-31121</f>
        <v>-39821</v>
      </c>
    </row>
    <row r="276" spans="1:6" x14ac:dyDescent="0.35">
      <c r="B276" s="1" t="s">
        <v>898</v>
      </c>
      <c r="C276" s="14"/>
      <c r="D276" s="21">
        <f>-17714+14196</f>
        <v>-3518</v>
      </c>
      <c r="E276" s="14"/>
      <c r="F276" s="14"/>
    </row>
    <row r="277" spans="1:6" x14ac:dyDescent="0.35">
      <c r="B277" s="1" t="s">
        <v>899</v>
      </c>
      <c r="C277" s="14"/>
      <c r="D277" s="21">
        <f>-6085-5875.37-108</f>
        <v>-12068.369999999999</v>
      </c>
      <c r="E277" s="14"/>
      <c r="F277" s="14"/>
    </row>
    <row r="278" spans="1:6" x14ac:dyDescent="0.35">
      <c r="B278" s="2" t="s">
        <v>2513</v>
      </c>
      <c r="C278" s="16">
        <f>SUM(C274:C277)</f>
        <v>190000</v>
      </c>
      <c r="D278" s="22">
        <f>SUM(D274:D277)</f>
        <v>189999.72000000003</v>
      </c>
      <c r="E278" s="16">
        <f>SUM(E274:E277)</f>
        <v>175000</v>
      </c>
      <c r="F278" s="16">
        <f>SUM(F274:F277)</f>
        <v>175000</v>
      </c>
    </row>
    <row r="279" spans="1:6" x14ac:dyDescent="0.35">
      <c r="C279" s="10"/>
      <c r="D279" s="10"/>
      <c r="E279" s="10"/>
      <c r="F279" s="10"/>
    </row>
    <row r="280" spans="1:6" ht="13.15" x14ac:dyDescent="0.4">
      <c r="A280" s="5" t="s">
        <v>900</v>
      </c>
      <c r="C280" s="10">
        <f>+C297</f>
        <v>44000</v>
      </c>
      <c r="D280" s="10">
        <f>+D297</f>
        <v>37918.61</v>
      </c>
      <c r="E280" s="10">
        <f>+E297</f>
        <v>44000</v>
      </c>
      <c r="F280" s="10">
        <f>+F297</f>
        <v>44000</v>
      </c>
    </row>
    <row r="281" spans="1:6" x14ac:dyDescent="0.35">
      <c r="C281" s="10"/>
      <c r="D281" s="10"/>
      <c r="E281" s="10"/>
      <c r="F281" s="10"/>
    </row>
    <row r="282" spans="1:6" ht="13.15" x14ac:dyDescent="0.4">
      <c r="B282" s="11" t="s">
        <v>901</v>
      </c>
      <c r="C282" s="12"/>
      <c r="D282" s="20"/>
      <c r="E282" s="12"/>
      <c r="F282" s="12"/>
    </row>
    <row r="283" spans="1:6" x14ac:dyDescent="0.35">
      <c r="B283" s="1" t="s">
        <v>831</v>
      </c>
      <c r="C283" s="14"/>
      <c r="D283" s="21"/>
      <c r="E283" s="14"/>
      <c r="F283" s="14"/>
    </row>
    <row r="284" spans="1:6" x14ac:dyDescent="0.35">
      <c r="B284" s="1" t="s">
        <v>902</v>
      </c>
      <c r="C284" s="14">
        <v>0</v>
      </c>
      <c r="D284" s="21"/>
      <c r="E284" s="14">
        <v>0</v>
      </c>
      <c r="F284" s="14">
        <v>0</v>
      </c>
    </row>
    <row r="285" spans="1:6" x14ac:dyDescent="0.35">
      <c r="B285" s="1" t="s">
        <v>903</v>
      </c>
      <c r="C285" s="14">
        <v>10000</v>
      </c>
      <c r="D285" s="21">
        <f>6914+897.53</f>
        <v>7811.53</v>
      </c>
      <c r="E285" s="14">
        <v>10000</v>
      </c>
      <c r="F285" s="14">
        <v>10000</v>
      </c>
    </row>
    <row r="286" spans="1:6" x14ac:dyDescent="0.35">
      <c r="B286" s="1" t="s">
        <v>904</v>
      </c>
      <c r="C286" s="14">
        <v>7000</v>
      </c>
      <c r="D286" s="21">
        <v>3856.76</v>
      </c>
      <c r="E286" s="14">
        <v>7000</v>
      </c>
      <c r="F286" s="14">
        <v>7000</v>
      </c>
    </row>
    <row r="287" spans="1:6" x14ac:dyDescent="0.35">
      <c r="B287" s="1" t="s">
        <v>905</v>
      </c>
      <c r="C287" s="14">
        <v>500</v>
      </c>
      <c r="D287" s="21">
        <v>500</v>
      </c>
      <c r="E287" s="14">
        <v>500</v>
      </c>
      <c r="F287" s="14">
        <v>500</v>
      </c>
    </row>
    <row r="288" spans="1:6" x14ac:dyDescent="0.35">
      <c r="B288" s="1" t="s">
        <v>906</v>
      </c>
      <c r="C288" s="14">
        <f>14000+8000+2000</f>
        <v>24000</v>
      </c>
      <c r="D288" s="21">
        <f>268.43+5000+285.38+34.24+11351.7+850</f>
        <v>17789.75</v>
      </c>
      <c r="E288" s="14">
        <f>14000+8000+2000</f>
        <v>24000</v>
      </c>
      <c r="F288" s="14">
        <f>14000+8000+2000</f>
        <v>24000</v>
      </c>
    </row>
    <row r="289" spans="1:6" x14ac:dyDescent="0.35">
      <c r="B289" s="1" t="s">
        <v>7</v>
      </c>
      <c r="C289" s="14"/>
      <c r="D289" s="21"/>
      <c r="E289" s="14"/>
      <c r="F289" s="14"/>
    </row>
    <row r="290" spans="1:6" x14ac:dyDescent="0.35">
      <c r="B290" s="1" t="s">
        <v>8</v>
      </c>
      <c r="C290" s="14">
        <v>5000</v>
      </c>
      <c r="D290" s="21">
        <f>3411.63+4399</f>
        <v>7810.63</v>
      </c>
      <c r="E290" s="14">
        <v>5000</v>
      </c>
      <c r="F290" s="14">
        <v>5000</v>
      </c>
    </row>
    <row r="291" spans="1:6" x14ac:dyDescent="0.35">
      <c r="B291" s="1" t="s">
        <v>1397</v>
      </c>
      <c r="C291" s="14">
        <f>500+1500+500</f>
        <v>2500</v>
      </c>
      <c r="D291" s="21">
        <v>2315.94</v>
      </c>
      <c r="E291" s="14">
        <f>500+1500+500</f>
        <v>2500</v>
      </c>
      <c r="F291" s="14">
        <f>500+1500+500</f>
        <v>2500</v>
      </c>
    </row>
    <row r="292" spans="1:6" x14ac:dyDescent="0.35">
      <c r="B292" s="1" t="s">
        <v>2532</v>
      </c>
      <c r="C292" s="14">
        <f>SUM(C284:C291)</f>
        <v>49000</v>
      </c>
      <c r="D292" s="21">
        <f>SUM(D284:D291)</f>
        <v>40084.61</v>
      </c>
      <c r="E292" s="14">
        <f>SUM(E284:E291)</f>
        <v>49000</v>
      </c>
      <c r="F292" s="14">
        <f>SUM(F284:F291)</f>
        <v>49000</v>
      </c>
    </row>
    <row r="293" spans="1:6" x14ac:dyDescent="0.35">
      <c r="B293" s="1" t="s">
        <v>856</v>
      </c>
      <c r="C293" s="14"/>
      <c r="D293" s="21"/>
      <c r="E293" s="14"/>
      <c r="F293" s="14"/>
    </row>
    <row r="294" spans="1:6" x14ac:dyDescent="0.35">
      <c r="B294" s="1" t="s">
        <v>9</v>
      </c>
      <c r="C294" s="14">
        <v>-5000</v>
      </c>
      <c r="D294" s="21">
        <f>-570-150-750-696</f>
        <v>-2166</v>
      </c>
      <c r="E294" s="14">
        <v>-5000</v>
      </c>
      <c r="F294" s="14">
        <v>-5000</v>
      </c>
    </row>
    <row r="295" spans="1:6" x14ac:dyDescent="0.35">
      <c r="B295" s="1" t="s">
        <v>10</v>
      </c>
      <c r="C295" s="14"/>
      <c r="D295" s="21"/>
      <c r="E295" s="14"/>
      <c r="F295" s="14"/>
    </row>
    <row r="296" spans="1:6" x14ac:dyDescent="0.35">
      <c r="B296" s="1" t="s">
        <v>11</v>
      </c>
      <c r="C296" s="14">
        <f>SUM(C294:C295)</f>
        <v>-5000</v>
      </c>
      <c r="D296" s="21">
        <f>SUM(D294:D295)</f>
        <v>-2166</v>
      </c>
      <c r="E296" s="14">
        <f>SUM(E294:E295)</f>
        <v>-5000</v>
      </c>
      <c r="F296" s="14">
        <f>SUM(F294:F295)</f>
        <v>-5000</v>
      </c>
    </row>
    <row r="297" spans="1:6" x14ac:dyDescent="0.35">
      <c r="B297" s="2" t="s">
        <v>2513</v>
      </c>
      <c r="C297" s="16">
        <f>+C292+C296</f>
        <v>44000</v>
      </c>
      <c r="D297" s="22">
        <f>+D296+D292</f>
        <v>37918.61</v>
      </c>
      <c r="E297" s="16">
        <f>+E292+E296</f>
        <v>44000</v>
      </c>
      <c r="F297" s="16">
        <f>+F292+F296</f>
        <v>44000</v>
      </c>
    </row>
    <row r="298" spans="1:6" x14ac:dyDescent="0.35">
      <c r="C298" s="10"/>
      <c r="D298" s="10"/>
      <c r="E298" s="10"/>
      <c r="F298" s="10"/>
    </row>
    <row r="299" spans="1:6" ht="13.15" x14ac:dyDescent="0.4">
      <c r="A299" s="5" t="s">
        <v>12</v>
      </c>
      <c r="C299" s="10">
        <v>1162</v>
      </c>
      <c r="D299" s="10"/>
      <c r="E299" s="10">
        <v>1100</v>
      </c>
      <c r="F299" s="10">
        <v>1100</v>
      </c>
    </row>
    <row r="300" spans="1:6" x14ac:dyDescent="0.35">
      <c r="C300" s="10"/>
      <c r="D300" s="10"/>
      <c r="E300" s="10"/>
      <c r="F300" s="10"/>
    </row>
    <row r="301" spans="1:6" ht="13.15" x14ac:dyDescent="0.4">
      <c r="A301" s="5" t="s">
        <v>13</v>
      </c>
      <c r="C301" s="10">
        <v>25000</v>
      </c>
      <c r="D301" s="10">
        <v>93023</v>
      </c>
      <c r="E301" s="10">
        <v>22500</v>
      </c>
      <c r="F301" s="10">
        <v>22500</v>
      </c>
    </row>
    <row r="302" spans="1:6" x14ac:dyDescent="0.35">
      <c r="C302" s="10"/>
      <c r="D302" s="10"/>
      <c r="E302" s="10"/>
      <c r="F302" s="10"/>
    </row>
    <row r="303" spans="1:6" ht="13.15" x14ac:dyDescent="0.4">
      <c r="A303" s="5" t="s">
        <v>14</v>
      </c>
      <c r="C303" s="10">
        <v>2500</v>
      </c>
      <c r="D303" s="10">
        <v>335.15</v>
      </c>
      <c r="E303" s="10">
        <v>1800</v>
      </c>
      <c r="F303" s="10">
        <v>1800</v>
      </c>
    </row>
    <row r="304" spans="1:6" x14ac:dyDescent="0.35">
      <c r="C304" s="10"/>
      <c r="D304" s="10"/>
      <c r="E304" s="10"/>
      <c r="F304" s="10"/>
    </row>
    <row r="305" spans="1:6" ht="13.15" x14ac:dyDescent="0.4">
      <c r="A305" s="5" t="s">
        <v>15</v>
      </c>
      <c r="C305" s="10">
        <v>4650</v>
      </c>
      <c r="D305" s="10">
        <v>11159</v>
      </c>
      <c r="E305" s="10">
        <v>4400</v>
      </c>
      <c r="F305" s="10">
        <v>4400</v>
      </c>
    </row>
    <row r="306" spans="1:6" x14ac:dyDescent="0.35">
      <c r="C306" s="10"/>
      <c r="D306" s="10"/>
      <c r="E306" s="10"/>
      <c r="F306" s="10"/>
    </row>
    <row r="307" spans="1:6" ht="13.15" x14ac:dyDescent="0.4">
      <c r="A307" s="5" t="s">
        <v>16</v>
      </c>
      <c r="C307" s="10">
        <v>5000</v>
      </c>
      <c r="D307" s="10">
        <v>5000</v>
      </c>
      <c r="E307" s="10">
        <v>5000</v>
      </c>
      <c r="F307" s="10">
        <v>5000</v>
      </c>
    </row>
    <row r="308" spans="1:6" x14ac:dyDescent="0.35">
      <c r="C308" s="10"/>
      <c r="D308" s="10"/>
      <c r="E308" s="10"/>
      <c r="F308" s="10"/>
    </row>
    <row r="309" spans="1:6" ht="13.15" x14ac:dyDescent="0.4">
      <c r="A309" s="5" t="s">
        <v>17</v>
      </c>
      <c r="C309" s="10">
        <f>+C324</f>
        <v>182868</v>
      </c>
      <c r="D309" s="10">
        <f>+D324</f>
        <v>182869</v>
      </c>
      <c r="E309" s="10">
        <f>+E324</f>
        <v>170000</v>
      </c>
      <c r="F309" s="10">
        <f>+F324</f>
        <v>170000</v>
      </c>
    </row>
    <row r="310" spans="1:6" ht="13.15" x14ac:dyDescent="0.4">
      <c r="B310" s="11" t="s">
        <v>18</v>
      </c>
      <c r="C310" s="12"/>
      <c r="D310" s="20"/>
      <c r="E310" s="12"/>
      <c r="F310" s="12"/>
    </row>
    <row r="311" spans="1:6" x14ac:dyDescent="0.35">
      <c r="B311" s="1" t="s">
        <v>831</v>
      </c>
      <c r="C311" s="14"/>
      <c r="D311" s="21"/>
      <c r="E311" s="14"/>
      <c r="F311" s="14"/>
    </row>
    <row r="312" spans="1:6" x14ac:dyDescent="0.35">
      <c r="B312" s="1" t="s">
        <v>19</v>
      </c>
      <c r="C312" s="14">
        <v>202218</v>
      </c>
      <c r="D312" s="21">
        <v>193004</v>
      </c>
      <c r="E312" s="14">
        <v>189350</v>
      </c>
      <c r="F312" s="14">
        <v>189350</v>
      </c>
    </row>
    <row r="313" spans="1:6" x14ac:dyDescent="0.35">
      <c r="B313" s="1" t="s">
        <v>20</v>
      </c>
      <c r="C313" s="14">
        <v>36000</v>
      </c>
      <c r="D313" s="21">
        <v>23000</v>
      </c>
      <c r="E313" s="14">
        <v>36000</v>
      </c>
      <c r="F313" s="14">
        <v>36000</v>
      </c>
    </row>
    <row r="314" spans="1:6" x14ac:dyDescent="0.35">
      <c r="B314" s="1" t="s">
        <v>21</v>
      </c>
      <c r="C314" s="14"/>
      <c r="D314" s="21"/>
      <c r="E314" s="14"/>
      <c r="F314" s="14"/>
    </row>
    <row r="315" spans="1:6" x14ac:dyDescent="0.35">
      <c r="B315" s="1" t="s">
        <v>22</v>
      </c>
      <c r="C315" s="14">
        <v>400</v>
      </c>
      <c r="D315" s="21"/>
      <c r="E315" s="14">
        <v>400</v>
      </c>
      <c r="F315" s="14">
        <v>400</v>
      </c>
    </row>
    <row r="316" spans="1:6" x14ac:dyDescent="0.35">
      <c r="B316" s="1" t="s">
        <v>1364</v>
      </c>
      <c r="C316" s="14">
        <v>50</v>
      </c>
      <c r="D316" s="21"/>
      <c r="E316" s="14">
        <v>50</v>
      </c>
      <c r="F316" s="14">
        <v>50</v>
      </c>
    </row>
    <row r="317" spans="1:6" x14ac:dyDescent="0.35">
      <c r="B317" s="1" t="s">
        <v>1365</v>
      </c>
      <c r="C317" s="14">
        <v>300</v>
      </c>
      <c r="D317" s="21"/>
      <c r="E317" s="14">
        <v>300</v>
      </c>
      <c r="F317" s="14">
        <v>300</v>
      </c>
    </row>
    <row r="318" spans="1:6" x14ac:dyDescent="0.35">
      <c r="B318" s="1" t="s">
        <v>1366</v>
      </c>
      <c r="C318" s="14">
        <v>100</v>
      </c>
      <c r="D318" s="21">
        <v>100</v>
      </c>
      <c r="E318" s="14">
        <v>100</v>
      </c>
      <c r="F318" s="14">
        <v>100</v>
      </c>
    </row>
    <row r="319" spans="1:6" x14ac:dyDescent="0.35">
      <c r="B319" s="1" t="s">
        <v>1367</v>
      </c>
      <c r="C319" s="14">
        <v>2500</v>
      </c>
      <c r="D319" s="21"/>
      <c r="E319" s="14">
        <v>2500</v>
      </c>
      <c r="F319" s="14">
        <v>2500</v>
      </c>
    </row>
    <row r="320" spans="1:6" x14ac:dyDescent="0.35">
      <c r="B320" s="1" t="s">
        <v>1368</v>
      </c>
      <c r="C320" s="14">
        <v>300</v>
      </c>
      <c r="D320" s="21"/>
      <c r="E320" s="14">
        <v>300</v>
      </c>
      <c r="F320" s="14">
        <v>300</v>
      </c>
    </row>
    <row r="321" spans="1:8" x14ac:dyDescent="0.35">
      <c r="B321" s="1" t="s">
        <v>1369</v>
      </c>
      <c r="C321" s="14">
        <v>1000</v>
      </c>
      <c r="D321" s="21">
        <v>1105</v>
      </c>
      <c r="E321" s="14">
        <v>1000</v>
      </c>
      <c r="F321" s="14">
        <v>1000</v>
      </c>
    </row>
    <row r="322" spans="1:8" x14ac:dyDescent="0.35">
      <c r="B322" s="1" t="s">
        <v>2532</v>
      </c>
      <c r="C322" s="14">
        <f>SUM(C312:C321)</f>
        <v>242868</v>
      </c>
      <c r="D322" s="21">
        <f>SUM(D312:D321)</f>
        <v>217209</v>
      </c>
      <c r="E322" s="14">
        <f>SUM(E312:E321)</f>
        <v>230000</v>
      </c>
      <c r="F322" s="14">
        <f>SUM(F312:F321)</f>
        <v>230000</v>
      </c>
    </row>
    <row r="323" spans="1:8" x14ac:dyDescent="0.35">
      <c r="B323" s="1" t="s">
        <v>1370</v>
      </c>
      <c r="C323" s="14">
        <v>-60000</v>
      </c>
      <c r="D323" s="21">
        <v>-34340</v>
      </c>
      <c r="E323" s="14">
        <v>-60000</v>
      </c>
      <c r="F323" s="14">
        <v>-60000</v>
      </c>
    </row>
    <row r="324" spans="1:8" x14ac:dyDescent="0.35">
      <c r="B324" s="2" t="s">
        <v>2513</v>
      </c>
      <c r="C324" s="16">
        <f>SUM(C322:C323)</f>
        <v>182868</v>
      </c>
      <c r="D324" s="22">
        <f>SUM(D322:D323)</f>
        <v>182869</v>
      </c>
      <c r="E324" s="16">
        <f>SUM(E322:E323)</f>
        <v>170000</v>
      </c>
      <c r="F324" s="16">
        <f>SUM(F322:F323)</f>
        <v>170000</v>
      </c>
    </row>
    <row r="325" spans="1:8" x14ac:dyDescent="0.35">
      <c r="C325" s="10"/>
      <c r="D325" s="10"/>
      <c r="E325" s="10"/>
      <c r="F325" s="10"/>
    </row>
    <row r="326" spans="1:8" ht="13.15" x14ac:dyDescent="0.4">
      <c r="A326" s="5" t="s">
        <v>1371</v>
      </c>
      <c r="C326" s="10">
        <v>29028</v>
      </c>
      <c r="D326" s="10">
        <v>29028</v>
      </c>
      <c r="E326" s="10">
        <v>25000</v>
      </c>
      <c r="F326" s="10">
        <v>25000</v>
      </c>
    </row>
    <row r="327" spans="1:8" x14ac:dyDescent="0.35">
      <c r="C327" s="10"/>
      <c r="D327" s="10"/>
      <c r="E327" s="10"/>
      <c r="F327" s="10"/>
    </row>
    <row r="328" spans="1:8" ht="13.15" x14ac:dyDescent="0.4">
      <c r="A328" s="5" t="s">
        <v>1372</v>
      </c>
      <c r="C328" s="10">
        <v>930</v>
      </c>
      <c r="D328" s="10"/>
      <c r="E328" s="10">
        <v>850</v>
      </c>
      <c r="F328" s="10">
        <v>850</v>
      </c>
    </row>
    <row r="329" spans="1:8" x14ac:dyDescent="0.35">
      <c r="C329" s="10"/>
      <c r="D329" s="10"/>
      <c r="E329" s="10"/>
      <c r="F329" s="10"/>
    </row>
    <row r="330" spans="1:8" ht="13.15" x14ac:dyDescent="0.4">
      <c r="A330" s="5" t="s">
        <v>1373</v>
      </c>
      <c r="C330" s="10">
        <v>83700</v>
      </c>
      <c r="D330" s="10">
        <v>104204</v>
      </c>
      <c r="E330" s="10">
        <v>85000</v>
      </c>
      <c r="F330" s="10">
        <v>85000</v>
      </c>
    </row>
    <row r="331" spans="1:8" x14ac:dyDescent="0.35">
      <c r="C331" s="10"/>
      <c r="D331" s="10"/>
      <c r="E331" s="10"/>
      <c r="F331" s="10"/>
    </row>
    <row r="332" spans="1:8" x14ac:dyDescent="0.35">
      <c r="C332" s="10"/>
      <c r="D332" s="10"/>
      <c r="E332" s="10"/>
      <c r="F332" s="10"/>
    </row>
    <row r="333" spans="1:8" ht="13.15" x14ac:dyDescent="0.4">
      <c r="A333" s="5" t="s">
        <v>1374</v>
      </c>
      <c r="C333" s="18">
        <f>+C330+C328+C326+C309+C307+C305+C303+C301+C299+C280+C244+C242+C240+C238+C196+C194</f>
        <v>587357</v>
      </c>
      <c r="D333" s="18">
        <f>+D330+D328+D326+D309+D307+D305+D303+D301+D299+D280+D244+D242+D240+D238+D196+D194</f>
        <v>684328.21</v>
      </c>
      <c r="E333" s="18">
        <f>+E330+E328+E326+E309+E307+E305+E303+E301+E299+E280+E244+E242+E240+E238+E196+E194</f>
        <v>580650</v>
      </c>
      <c r="F333" s="18">
        <f>+F330+F328+F326+F309+F307+F305+F303+F301+F299+F280+F244+F242+F240+F238+F196+F194</f>
        <v>580650</v>
      </c>
      <c r="H333" s="25"/>
    </row>
    <row r="334" spans="1:8" x14ac:dyDescent="0.35">
      <c r="C334" s="10"/>
      <c r="D334" s="10"/>
      <c r="E334" s="10"/>
      <c r="F334" s="10"/>
    </row>
    <row r="335" spans="1:8" ht="13.15" x14ac:dyDescent="0.4">
      <c r="A335" s="5" t="s">
        <v>1375</v>
      </c>
      <c r="C335" s="10">
        <f>1364191+521121</f>
        <v>1885312</v>
      </c>
      <c r="D335" s="10">
        <f>3525437-1707687+10000+40000</f>
        <v>1867750</v>
      </c>
      <c r="E335" s="10">
        <v>1986426</v>
      </c>
      <c r="F335" s="10">
        <v>2137722.0514832125</v>
      </c>
      <c r="H335" s="25"/>
    </row>
    <row r="336" spans="1:8" ht="13.15" x14ac:dyDescent="0.4">
      <c r="A336" s="5" t="s">
        <v>1376</v>
      </c>
      <c r="C336" s="10"/>
      <c r="D336" s="10"/>
      <c r="E336" s="10"/>
      <c r="F336" s="10"/>
    </row>
    <row r="337" spans="1:8" ht="13.15" x14ac:dyDescent="0.4">
      <c r="A337" s="5" t="s">
        <v>1377</v>
      </c>
      <c r="C337" s="10">
        <v>50000</v>
      </c>
      <c r="D337" s="10"/>
      <c r="E337" s="10">
        <v>50000</v>
      </c>
      <c r="F337" s="10"/>
    </row>
    <row r="338" spans="1:8" ht="13.15" x14ac:dyDescent="0.4">
      <c r="A338" s="5" t="s">
        <v>1378</v>
      </c>
      <c r="C338" s="10">
        <v>100000</v>
      </c>
      <c r="D338" s="10"/>
      <c r="E338" s="10">
        <v>100000</v>
      </c>
      <c r="F338" s="10">
        <v>100000</v>
      </c>
    </row>
    <row r="339" spans="1:8" ht="13.15" x14ac:dyDescent="0.4">
      <c r="A339" s="5" t="s">
        <v>1379</v>
      </c>
      <c r="C339" s="10">
        <v>25000</v>
      </c>
      <c r="D339" s="10"/>
      <c r="E339" s="10">
        <v>25000</v>
      </c>
      <c r="F339" s="10">
        <v>25000</v>
      </c>
    </row>
    <row r="340" spans="1:8" ht="13.15" x14ac:dyDescent="0.4">
      <c r="C340" s="18">
        <f>+C333+C192+C126+C64+C50+C22+1+C335+C336-1+C337+C338+C339</f>
        <v>3717342</v>
      </c>
      <c r="D340" s="18">
        <f>+D333+D192+D126+D64+D50+D22+1+D335+D336-1+D337+D338+D339</f>
        <v>3525436.5</v>
      </c>
      <c r="E340" s="18">
        <f>+E333+E192+E126+E64+E50+E22+1+E335+E336-1+E337+E338+E339</f>
        <v>3761425.5</v>
      </c>
      <c r="F340" s="18">
        <f>+F333+F192+F126+F64+F50+F22+1+F335+F336-1+F337+F338+F339</f>
        <v>3862721.5514832125</v>
      </c>
      <c r="H340" s="25"/>
    </row>
    <row r="343" spans="1:8" x14ac:dyDescent="0.35">
      <c r="D343" s="25"/>
    </row>
  </sheetData>
  <phoneticPr fontId="0" type="noConversion"/>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N1135"/>
  <sheetViews>
    <sheetView topLeftCell="C1" workbookViewId="0">
      <selection activeCell="K10" sqref="K10"/>
    </sheetView>
  </sheetViews>
  <sheetFormatPr defaultColWidth="11.42578125" defaultRowHeight="13.5" x14ac:dyDescent="0.35"/>
  <cols>
    <col min="1" max="1" width="7.28515625" style="79" hidden="1" customWidth="1"/>
    <col min="2" max="2" width="15.5703125" style="79" hidden="1" customWidth="1"/>
    <col min="3" max="3" width="4.140625" style="79" customWidth="1"/>
    <col min="4" max="4" width="47.85546875" style="79" customWidth="1"/>
    <col min="5" max="5" width="1.85546875" style="79" customWidth="1"/>
    <col min="6" max="6" width="12.7109375" style="79" customWidth="1"/>
    <col min="7" max="7" width="1.85546875" style="79" customWidth="1"/>
    <col min="8" max="8" width="12.7109375" style="79" customWidth="1"/>
    <col min="9" max="9" width="1.85546875" style="79" customWidth="1"/>
    <col min="10" max="11" width="12.7109375" style="79" customWidth="1"/>
    <col min="12" max="12" width="6.28515625" style="79" customWidth="1"/>
    <col min="13" max="13" width="12.7109375" style="79" customWidth="1"/>
    <col min="14" max="14" width="1.85546875" style="79" customWidth="1"/>
    <col min="15" max="15" width="12.7109375" style="79" customWidth="1"/>
    <col min="16" max="16" width="1.85546875" style="79" customWidth="1"/>
    <col min="17" max="17" width="12.7109375" style="80" customWidth="1"/>
    <col min="18" max="18" width="1.85546875" style="79" customWidth="1"/>
    <col min="19" max="19" width="12.7109375" style="80" customWidth="1"/>
    <col min="20" max="20" width="1.85546875" style="79" customWidth="1"/>
    <col min="21" max="16384" width="11.42578125" style="79"/>
  </cols>
  <sheetData>
    <row r="1" spans="1:248" s="76" customFormat="1" ht="15" x14ac:dyDescent="0.4">
      <c r="B1" s="190" t="s">
        <v>471</v>
      </c>
      <c r="C1" s="190"/>
      <c r="D1" s="190"/>
      <c r="E1" s="190"/>
      <c r="F1" s="190"/>
      <c r="G1" s="190"/>
      <c r="H1" s="190"/>
      <c r="I1" s="190"/>
      <c r="J1" s="190"/>
      <c r="K1" s="190"/>
      <c r="L1" s="190"/>
      <c r="M1" s="190"/>
      <c r="N1" s="190"/>
      <c r="O1" s="190"/>
      <c r="P1" s="190"/>
      <c r="Q1" s="190"/>
      <c r="R1" s="190"/>
      <c r="S1" s="190"/>
    </row>
    <row r="2" spans="1:248" s="76" customFormat="1" ht="15" x14ac:dyDescent="0.4">
      <c r="B2" s="190" t="s">
        <v>23</v>
      </c>
      <c r="C2" s="190"/>
      <c r="D2" s="190"/>
      <c r="E2" s="190"/>
      <c r="F2" s="190"/>
      <c r="G2" s="190"/>
      <c r="H2" s="190"/>
      <c r="I2" s="190"/>
      <c r="J2" s="190"/>
      <c r="K2" s="190"/>
      <c r="L2" s="190"/>
      <c r="M2" s="190"/>
      <c r="N2" s="190"/>
      <c r="O2" s="190"/>
      <c r="P2" s="190"/>
      <c r="Q2" s="190"/>
      <c r="R2" s="190"/>
      <c r="S2" s="190"/>
    </row>
    <row r="3" spans="1:248" s="76" customFormat="1" ht="15" x14ac:dyDescent="0.4">
      <c r="B3" s="77"/>
      <c r="C3" s="77"/>
      <c r="D3" s="77"/>
      <c r="E3" s="77"/>
      <c r="F3" s="77"/>
      <c r="G3" s="77"/>
      <c r="H3" s="77"/>
      <c r="I3" s="77"/>
      <c r="J3" s="77"/>
      <c r="K3" s="77"/>
      <c r="L3" s="77"/>
      <c r="M3" s="77"/>
      <c r="N3" s="77"/>
      <c r="O3" s="77"/>
      <c r="P3" s="77"/>
      <c r="Q3" s="123"/>
      <c r="R3" s="77"/>
      <c r="S3" s="123"/>
    </row>
    <row r="4" spans="1:248" s="76" customFormat="1" ht="15" x14ac:dyDescent="0.4">
      <c r="B4" s="77"/>
      <c r="C4" s="77"/>
      <c r="D4" s="77"/>
      <c r="F4" s="77"/>
      <c r="H4" s="77"/>
      <c r="J4" s="77"/>
      <c r="K4" s="77"/>
      <c r="L4" s="77"/>
      <c r="Q4" s="78"/>
      <c r="S4" s="78"/>
    </row>
    <row r="5" spans="1:248" ht="13.9" x14ac:dyDescent="0.4">
      <c r="F5" s="187" t="s">
        <v>2173</v>
      </c>
      <c r="G5" s="188"/>
      <c r="H5" s="188"/>
      <c r="I5" s="188"/>
      <c r="J5" s="189"/>
      <c r="K5" s="135"/>
      <c r="M5" s="187" t="s">
        <v>2174</v>
      </c>
      <c r="N5" s="188"/>
      <c r="O5" s="188"/>
      <c r="P5" s="188"/>
      <c r="Q5" s="188"/>
      <c r="R5" s="188"/>
      <c r="S5" s="189"/>
    </row>
    <row r="7" spans="1:248" ht="13.9" x14ac:dyDescent="0.35">
      <c r="D7" s="82"/>
      <c r="F7" s="121">
        <v>2008</v>
      </c>
      <c r="H7" s="121">
        <v>2008</v>
      </c>
      <c r="J7" s="121">
        <v>2009</v>
      </c>
      <c r="K7" s="115"/>
      <c r="M7" s="121" t="s">
        <v>2171</v>
      </c>
      <c r="O7" s="121" t="s">
        <v>2171</v>
      </c>
      <c r="Q7" s="124"/>
      <c r="S7" s="130" t="s">
        <v>1380</v>
      </c>
    </row>
    <row r="8" spans="1:248" ht="13.9" x14ac:dyDescent="0.35">
      <c r="F8" s="122" t="s">
        <v>473</v>
      </c>
      <c r="H8" s="122" t="s">
        <v>1244</v>
      </c>
      <c r="J8" s="122" t="s">
        <v>473</v>
      </c>
      <c r="K8" s="115"/>
      <c r="M8" s="122" t="s">
        <v>1384</v>
      </c>
      <c r="O8" s="122" t="s">
        <v>1244</v>
      </c>
      <c r="Q8" s="125" t="s">
        <v>1381</v>
      </c>
      <c r="S8" s="125" t="s">
        <v>2172</v>
      </c>
    </row>
    <row r="9" spans="1:248" ht="13.9" x14ac:dyDescent="0.35">
      <c r="F9" s="115"/>
      <c r="H9" s="115"/>
      <c r="J9" s="115"/>
      <c r="K9" s="115"/>
      <c r="M9" s="115"/>
      <c r="O9" s="115"/>
      <c r="Q9" s="126"/>
      <c r="S9" s="126"/>
    </row>
    <row r="10" spans="1:248" ht="15" x14ac:dyDescent="0.35">
      <c r="A10" s="82"/>
      <c r="D10" s="77" t="s">
        <v>856</v>
      </c>
      <c r="U10" s="82"/>
      <c r="Y10" s="82"/>
      <c r="AC10" s="82"/>
      <c r="AG10" s="82"/>
      <c r="AK10" s="82"/>
      <c r="AO10" s="82"/>
      <c r="AS10" s="82"/>
      <c r="AW10" s="82"/>
      <c r="BA10" s="82"/>
      <c r="BE10" s="82"/>
      <c r="BI10" s="82"/>
      <c r="BM10" s="82"/>
      <c r="BQ10" s="82"/>
      <c r="BU10" s="82"/>
      <c r="BY10" s="82"/>
      <c r="CC10" s="82"/>
      <c r="CG10" s="82"/>
      <c r="CK10" s="82"/>
      <c r="CO10" s="82"/>
      <c r="CS10" s="82"/>
      <c r="CW10" s="82"/>
      <c r="DA10" s="82"/>
      <c r="DE10" s="82"/>
      <c r="DI10" s="82"/>
      <c r="DM10" s="82"/>
      <c r="DQ10" s="82"/>
      <c r="DU10" s="82"/>
      <c r="DY10" s="82"/>
      <c r="EC10" s="82"/>
      <c r="EG10" s="82"/>
      <c r="EK10" s="82"/>
      <c r="EO10" s="82"/>
      <c r="ES10" s="82"/>
      <c r="EW10" s="82"/>
      <c r="FA10" s="82"/>
      <c r="FE10" s="82"/>
      <c r="FI10" s="82"/>
      <c r="FM10" s="82"/>
      <c r="FQ10" s="82"/>
      <c r="FU10" s="82"/>
      <c r="FY10" s="82"/>
      <c r="GC10" s="82"/>
      <c r="GG10" s="82"/>
      <c r="GK10" s="82"/>
      <c r="GO10" s="82"/>
      <c r="GS10" s="82"/>
      <c r="GW10" s="82"/>
      <c r="HA10" s="82"/>
      <c r="HE10" s="82"/>
      <c r="HI10" s="82"/>
      <c r="HM10" s="82"/>
      <c r="HQ10" s="82"/>
      <c r="HU10" s="82"/>
      <c r="HY10" s="82"/>
      <c r="IC10" s="82"/>
      <c r="IG10" s="82"/>
      <c r="IK10" s="82"/>
    </row>
    <row r="11" spans="1:248" ht="13.9" x14ac:dyDescent="0.35">
      <c r="A11" s="82"/>
      <c r="D11" s="82" t="s">
        <v>2170</v>
      </c>
      <c r="F11" s="80">
        <v>3862722</v>
      </c>
      <c r="H11" s="80">
        <v>3623696</v>
      </c>
      <c r="J11" s="80">
        <v>3984030</v>
      </c>
      <c r="K11" s="80"/>
      <c r="M11" s="80">
        <f>+J11/12*3</f>
        <v>996007.5</v>
      </c>
      <c r="O11" s="80">
        <v>903395</v>
      </c>
      <c r="Q11" s="80">
        <f>+M11-O11</f>
        <v>92612.5</v>
      </c>
      <c r="S11" s="80">
        <v>941790</v>
      </c>
      <c r="U11" s="82"/>
      <c r="Y11" s="82"/>
      <c r="AC11" s="82"/>
      <c r="AG11" s="82"/>
      <c r="AK11" s="82"/>
      <c r="AO11" s="82"/>
      <c r="AS11" s="82"/>
      <c r="AW11" s="82"/>
      <c r="BA11" s="82"/>
      <c r="BE11" s="82"/>
      <c r="BI11" s="82"/>
      <c r="BM11" s="82"/>
      <c r="BQ11" s="82"/>
      <c r="BU11" s="82"/>
      <c r="BY11" s="82"/>
      <c r="CC11" s="82"/>
      <c r="CG11" s="82"/>
      <c r="CK11" s="82"/>
      <c r="CO11" s="82"/>
      <c r="CS11" s="82"/>
      <c r="CW11" s="82"/>
      <c r="DA11" s="82"/>
      <c r="DE11" s="82"/>
      <c r="DI11" s="82"/>
      <c r="DM11" s="82"/>
      <c r="DQ11" s="82"/>
      <c r="DU11" s="82"/>
      <c r="DY11" s="82"/>
      <c r="EC11" s="82"/>
      <c r="EG11" s="82"/>
      <c r="EK11" s="82"/>
      <c r="EO11" s="82"/>
      <c r="ES11" s="82"/>
      <c r="EW11" s="82"/>
      <c r="FA11" s="82"/>
      <c r="FE11" s="82"/>
      <c r="FI11" s="82"/>
      <c r="FM11" s="82"/>
      <c r="FQ11" s="82"/>
      <c r="FU11" s="82"/>
      <c r="FY11" s="82"/>
      <c r="GC11" s="82"/>
      <c r="GG11" s="82"/>
      <c r="GK11" s="82"/>
      <c r="GO11" s="82"/>
      <c r="GS11" s="82"/>
      <c r="GW11" s="82"/>
      <c r="HA11" s="82"/>
      <c r="HE11" s="82"/>
      <c r="HI11" s="82"/>
      <c r="HM11" s="82"/>
      <c r="HQ11" s="82"/>
      <c r="HU11" s="82"/>
      <c r="HY11" s="82"/>
      <c r="IC11" s="82"/>
      <c r="IG11" s="82"/>
      <c r="IK11" s="82"/>
    </row>
    <row r="12" spans="1:248" hidden="1" x14ac:dyDescent="0.35">
      <c r="A12" s="83"/>
      <c r="C12" s="83"/>
      <c r="F12" s="80"/>
      <c r="H12" s="80"/>
      <c r="J12" s="80"/>
      <c r="K12" s="80"/>
      <c r="M12" s="80"/>
      <c r="O12" s="80"/>
      <c r="U12" s="83"/>
      <c r="X12" s="83"/>
      <c r="Y12" s="83"/>
      <c r="AB12" s="83"/>
      <c r="AC12" s="83"/>
      <c r="AF12" s="83"/>
      <c r="AG12" s="83"/>
      <c r="AJ12" s="83"/>
      <c r="AK12" s="83"/>
      <c r="AN12" s="83"/>
      <c r="AO12" s="83"/>
      <c r="AR12" s="83"/>
      <c r="AS12" s="83"/>
      <c r="AV12" s="83"/>
      <c r="AW12" s="83"/>
      <c r="AZ12" s="83"/>
      <c r="BA12" s="83"/>
      <c r="BD12" s="83"/>
      <c r="BE12" s="83"/>
      <c r="BH12" s="83"/>
      <c r="BI12" s="83"/>
      <c r="BL12" s="83"/>
      <c r="BM12" s="83"/>
      <c r="BP12" s="83"/>
      <c r="BQ12" s="83"/>
      <c r="BT12" s="83"/>
      <c r="BU12" s="83"/>
      <c r="BX12" s="83"/>
      <c r="BY12" s="83"/>
      <c r="CB12" s="83"/>
      <c r="CC12" s="83"/>
      <c r="CF12" s="83"/>
      <c r="CG12" s="83"/>
      <c r="CJ12" s="83"/>
      <c r="CK12" s="83"/>
      <c r="CN12" s="83"/>
      <c r="CO12" s="83"/>
      <c r="CR12" s="83"/>
      <c r="CS12" s="83"/>
      <c r="CV12" s="83"/>
      <c r="CW12" s="83"/>
      <c r="CZ12" s="83"/>
      <c r="DA12" s="83"/>
      <c r="DD12" s="83"/>
      <c r="DE12" s="83"/>
      <c r="DH12" s="83"/>
      <c r="DI12" s="83"/>
      <c r="DL12" s="83"/>
      <c r="DM12" s="83"/>
      <c r="DP12" s="83"/>
      <c r="DQ12" s="83"/>
      <c r="DT12" s="83"/>
      <c r="DU12" s="83"/>
      <c r="DX12" s="83"/>
      <c r="DY12" s="83"/>
      <c r="EB12" s="83"/>
      <c r="EC12" s="83"/>
      <c r="EF12" s="83"/>
      <c r="EG12" s="83"/>
      <c r="EJ12" s="83"/>
      <c r="EK12" s="83"/>
      <c r="EN12" s="83"/>
      <c r="EO12" s="83"/>
      <c r="ER12" s="83"/>
      <c r="ES12" s="83"/>
      <c r="EV12" s="83"/>
      <c r="EW12" s="83"/>
      <c r="EZ12" s="83"/>
      <c r="FA12" s="83"/>
      <c r="FD12" s="83"/>
      <c r="FE12" s="83"/>
      <c r="FH12" s="83"/>
      <c r="FI12" s="83"/>
      <c r="FL12" s="83"/>
      <c r="FM12" s="83"/>
      <c r="FP12" s="83"/>
      <c r="FQ12" s="83"/>
      <c r="FT12" s="83"/>
      <c r="FU12" s="83"/>
      <c r="FX12" s="83"/>
      <c r="FY12" s="83"/>
      <c r="GB12" s="83"/>
      <c r="GC12" s="83"/>
      <c r="GF12" s="83"/>
      <c r="GG12" s="83"/>
      <c r="GJ12" s="83"/>
      <c r="GK12" s="83"/>
      <c r="GN12" s="83"/>
      <c r="GO12" s="83"/>
      <c r="GR12" s="83"/>
      <c r="GS12" s="83"/>
      <c r="GV12" s="83"/>
      <c r="GW12" s="83"/>
      <c r="GZ12" s="83"/>
      <c r="HA12" s="83"/>
      <c r="HD12" s="83"/>
      <c r="HE12" s="83"/>
      <c r="HH12" s="83"/>
      <c r="HI12" s="83"/>
      <c r="HL12" s="83"/>
      <c r="HM12" s="83"/>
      <c r="HP12" s="83"/>
      <c r="HQ12" s="83"/>
      <c r="HT12" s="83"/>
      <c r="HU12" s="83"/>
      <c r="HX12" s="83"/>
      <c r="HY12" s="83"/>
      <c r="IB12" s="83"/>
      <c r="IC12" s="83"/>
      <c r="IF12" s="83"/>
      <c r="IG12" s="83"/>
      <c r="IJ12" s="83"/>
      <c r="IK12" s="83"/>
      <c r="IN12" s="83"/>
    </row>
    <row r="13" spans="1:248" x14ac:dyDescent="0.35">
      <c r="A13" s="83"/>
      <c r="C13" s="83"/>
      <c r="F13" s="99"/>
      <c r="H13" s="99"/>
      <c r="J13" s="99"/>
      <c r="K13" s="80"/>
      <c r="M13" s="99"/>
      <c r="O13" s="99"/>
      <c r="Q13" s="99"/>
      <c r="S13" s="99"/>
      <c r="U13" s="83"/>
      <c r="X13" s="83"/>
      <c r="Y13" s="83"/>
      <c r="AB13" s="83"/>
      <c r="AC13" s="83"/>
      <c r="AF13" s="83"/>
      <c r="AG13" s="83"/>
      <c r="AJ13" s="83"/>
      <c r="AK13" s="83"/>
      <c r="AN13" s="83"/>
      <c r="AO13" s="83"/>
      <c r="AR13" s="83"/>
      <c r="AS13" s="83"/>
      <c r="AV13" s="83"/>
      <c r="AW13" s="83"/>
      <c r="AZ13" s="83"/>
      <c r="BA13" s="83"/>
      <c r="BD13" s="83"/>
      <c r="BE13" s="83"/>
      <c r="BH13" s="83"/>
      <c r="BI13" s="83"/>
      <c r="BL13" s="83"/>
      <c r="BM13" s="83"/>
      <c r="BP13" s="83"/>
      <c r="BQ13" s="83"/>
      <c r="BT13" s="83"/>
      <c r="BU13" s="83"/>
      <c r="BX13" s="83"/>
      <c r="BY13" s="83"/>
      <c r="CB13" s="83"/>
      <c r="CC13" s="83"/>
      <c r="CF13" s="83"/>
      <c r="CG13" s="83"/>
      <c r="CJ13" s="83"/>
      <c r="CK13" s="83"/>
      <c r="CN13" s="83"/>
      <c r="CO13" s="83"/>
      <c r="CR13" s="83"/>
      <c r="CS13" s="83"/>
      <c r="CV13" s="83"/>
      <c r="CW13" s="83"/>
      <c r="CZ13" s="83"/>
      <c r="DA13" s="83"/>
      <c r="DD13" s="83"/>
      <c r="DE13" s="83"/>
      <c r="DH13" s="83"/>
      <c r="DI13" s="83"/>
      <c r="DL13" s="83"/>
      <c r="DM13" s="83"/>
      <c r="DP13" s="83"/>
      <c r="DQ13" s="83"/>
      <c r="DT13" s="83"/>
      <c r="DU13" s="83"/>
      <c r="DX13" s="83"/>
      <c r="DY13" s="83"/>
      <c r="EB13" s="83"/>
      <c r="EC13" s="83"/>
      <c r="EF13" s="83"/>
      <c r="EG13" s="83"/>
      <c r="EJ13" s="83"/>
      <c r="EK13" s="83"/>
      <c r="EN13" s="83"/>
      <c r="EO13" s="83"/>
      <c r="ER13" s="83"/>
      <c r="ES13" s="83"/>
      <c r="EV13" s="83"/>
      <c r="EW13" s="83"/>
      <c r="EZ13" s="83"/>
      <c r="FA13" s="83"/>
      <c r="FD13" s="83"/>
      <c r="FE13" s="83"/>
      <c r="FH13" s="83"/>
      <c r="FI13" s="83"/>
      <c r="FL13" s="83"/>
      <c r="FM13" s="83"/>
      <c r="FP13" s="83"/>
      <c r="FQ13" s="83"/>
      <c r="FT13" s="83"/>
      <c r="FU13" s="83"/>
      <c r="FX13" s="83"/>
      <c r="FY13" s="83"/>
      <c r="GB13" s="83"/>
      <c r="GC13" s="83"/>
      <c r="GF13" s="83"/>
      <c r="GG13" s="83"/>
      <c r="GJ13" s="83"/>
      <c r="GK13" s="83"/>
      <c r="GN13" s="83"/>
      <c r="GO13" s="83"/>
      <c r="GR13" s="83"/>
      <c r="GS13" s="83"/>
      <c r="GV13" s="83"/>
      <c r="GW13" s="83"/>
      <c r="GZ13" s="83"/>
      <c r="HA13" s="83"/>
      <c r="HD13" s="83"/>
      <c r="HE13" s="83"/>
      <c r="HH13" s="83"/>
      <c r="HI13" s="83"/>
      <c r="HL13" s="83"/>
      <c r="HM13" s="83"/>
      <c r="HP13" s="83"/>
      <c r="HQ13" s="83"/>
      <c r="HT13" s="83"/>
      <c r="HU13" s="83"/>
      <c r="HX13" s="83"/>
      <c r="HY13" s="83"/>
      <c r="IB13" s="83"/>
      <c r="IC13" s="83"/>
      <c r="IF13" s="83"/>
      <c r="IG13" s="83"/>
      <c r="IJ13" s="83"/>
      <c r="IK13" s="83"/>
      <c r="IN13" s="83"/>
    </row>
    <row r="14" spans="1:248" ht="14.25" thickBot="1" x14ac:dyDescent="0.45">
      <c r="B14" s="82"/>
      <c r="D14" s="82" t="s">
        <v>863</v>
      </c>
      <c r="F14" s="117">
        <f>SUM(F11:F13)</f>
        <v>3862722</v>
      </c>
      <c r="H14" s="117">
        <f>SUM(H11:H13)</f>
        <v>3623696</v>
      </c>
      <c r="J14" s="117">
        <f>SUM(J11:J13)</f>
        <v>3984030</v>
      </c>
      <c r="K14" s="114"/>
      <c r="M14" s="117">
        <f>SUM(M11:M13)</f>
        <v>996007.5</v>
      </c>
      <c r="O14" s="117">
        <f>SUM(O11:O13)</f>
        <v>903395</v>
      </c>
      <c r="Q14" s="117">
        <f>SUM(Q11:Q13)</f>
        <v>92612.5</v>
      </c>
      <c r="S14" s="117">
        <f>SUM(S11:S13)</f>
        <v>941790</v>
      </c>
      <c r="V14" s="82"/>
      <c r="Z14" s="82"/>
      <c r="AD14" s="82"/>
      <c r="AH14" s="82"/>
      <c r="AL14" s="82"/>
      <c r="AP14" s="82"/>
      <c r="AT14" s="82"/>
      <c r="AX14" s="82"/>
      <c r="BB14" s="82"/>
      <c r="BF14" s="82"/>
      <c r="BJ14" s="82"/>
      <c r="BN14" s="82"/>
      <c r="BR14" s="82"/>
      <c r="BV14" s="82"/>
      <c r="BZ14" s="82"/>
      <c r="CD14" s="82"/>
      <c r="CH14" s="82"/>
      <c r="CL14" s="82"/>
      <c r="CP14" s="82"/>
      <c r="CT14" s="82"/>
      <c r="CX14" s="82"/>
      <c r="DB14" s="82"/>
      <c r="DF14" s="82"/>
      <c r="DJ14" s="82"/>
      <c r="DN14" s="82"/>
      <c r="DR14" s="82"/>
      <c r="DV14" s="82"/>
      <c r="DZ14" s="82"/>
      <c r="ED14" s="82"/>
      <c r="EH14" s="82"/>
      <c r="EL14" s="82"/>
      <c r="EP14" s="82"/>
      <c r="ET14" s="82"/>
      <c r="EX14" s="82"/>
      <c r="FB14" s="82"/>
      <c r="FF14" s="82"/>
      <c r="FJ14" s="82"/>
      <c r="FN14" s="82"/>
      <c r="FR14" s="82"/>
      <c r="FV14" s="82"/>
      <c r="FZ14" s="82"/>
      <c r="GD14" s="82"/>
      <c r="GH14" s="82"/>
      <c r="GL14" s="82"/>
      <c r="GP14" s="82"/>
      <c r="GT14" s="82"/>
      <c r="GX14" s="82"/>
      <c r="HB14" s="82"/>
      <c r="HF14" s="82"/>
      <c r="HJ14" s="82"/>
      <c r="HN14" s="82"/>
      <c r="HR14" s="82"/>
      <c r="HV14" s="82"/>
      <c r="HZ14" s="82"/>
      <c r="ID14" s="82"/>
      <c r="IH14" s="82"/>
      <c r="IL14" s="82"/>
    </row>
    <row r="15" spans="1:248" ht="14.25" thickTop="1" x14ac:dyDescent="0.35">
      <c r="F15" s="115"/>
      <c r="H15" s="115"/>
      <c r="J15" s="115"/>
      <c r="K15" s="115"/>
      <c r="M15" s="115"/>
      <c r="O15" s="115"/>
      <c r="Q15" s="126"/>
      <c r="S15" s="126"/>
    </row>
    <row r="16" spans="1:248" ht="15" x14ac:dyDescent="0.4">
      <c r="D16" s="118" t="s">
        <v>831</v>
      </c>
    </row>
    <row r="17" spans="1:19" ht="15" x14ac:dyDescent="0.4">
      <c r="D17" s="118"/>
    </row>
    <row r="18" spans="1:19" ht="13.9" x14ac:dyDescent="0.35">
      <c r="D18" s="116" t="s">
        <v>1039</v>
      </c>
    </row>
    <row r="19" spans="1:19" ht="13.9" x14ac:dyDescent="0.35">
      <c r="D19" s="82" t="s">
        <v>1038</v>
      </c>
    </row>
    <row r="20" spans="1:19" ht="13.9" x14ac:dyDescent="0.35">
      <c r="A20" s="82"/>
      <c r="D20" s="83" t="s">
        <v>1045</v>
      </c>
      <c r="H20" s="87">
        <v>-7323</v>
      </c>
      <c r="O20" s="87">
        <v>-1059</v>
      </c>
      <c r="Q20" s="87">
        <f>+M20-O20</f>
        <v>1059</v>
      </c>
      <c r="S20" s="80">
        <v>-130</v>
      </c>
    </row>
    <row r="21" spans="1:19" x14ac:dyDescent="0.35">
      <c r="A21" s="83" t="s">
        <v>2608</v>
      </c>
      <c r="D21" s="83" t="s">
        <v>2609</v>
      </c>
      <c r="F21" s="84">
        <v>65029</v>
      </c>
      <c r="H21" s="87">
        <v>65029</v>
      </c>
      <c r="J21" s="84">
        <f>98990-28800</f>
        <v>70190</v>
      </c>
      <c r="K21" s="84"/>
      <c r="M21" s="80">
        <f>+J21/12*3</f>
        <v>17547.5</v>
      </c>
      <c r="O21" s="87">
        <v>17547</v>
      </c>
      <c r="Q21" s="87">
        <f>+M21-O21</f>
        <v>0.5</v>
      </c>
      <c r="S21" s="87">
        <v>13548</v>
      </c>
    </row>
    <row r="22" spans="1:19" x14ac:dyDescent="0.35">
      <c r="A22" s="83" t="s">
        <v>2610</v>
      </c>
      <c r="D22" s="83" t="s">
        <v>2611</v>
      </c>
      <c r="F22" s="84">
        <v>600</v>
      </c>
      <c r="H22" s="87">
        <v>600</v>
      </c>
      <c r="J22" s="84">
        <v>600</v>
      </c>
      <c r="K22" s="84"/>
      <c r="M22" s="80">
        <f t="shared" ref="M22:M33" si="0">+J22/12*3</f>
        <v>150</v>
      </c>
      <c r="O22" s="87">
        <v>0</v>
      </c>
      <c r="Q22" s="87">
        <f t="shared" ref="Q22:Q33" si="1">+M22-O22</f>
        <v>150</v>
      </c>
      <c r="S22" s="87">
        <v>0</v>
      </c>
    </row>
    <row r="23" spans="1:19" x14ac:dyDescent="0.35">
      <c r="A23" s="83" t="s">
        <v>2612</v>
      </c>
      <c r="D23" s="83" t="s">
        <v>2613</v>
      </c>
      <c r="F23" s="84">
        <v>13290</v>
      </c>
      <c r="H23" s="87">
        <v>13290</v>
      </c>
      <c r="J23" s="84">
        <v>15433</v>
      </c>
      <c r="K23" s="84"/>
      <c r="M23" s="80">
        <f t="shared" si="0"/>
        <v>3858.25</v>
      </c>
      <c r="O23" s="87">
        <v>3591</v>
      </c>
      <c r="Q23" s="87">
        <f t="shared" si="1"/>
        <v>267.25</v>
      </c>
      <c r="S23" s="87">
        <v>3323</v>
      </c>
    </row>
    <row r="24" spans="1:19" x14ac:dyDescent="0.35">
      <c r="A24" s="83" t="s">
        <v>2614</v>
      </c>
      <c r="D24" s="83" t="s">
        <v>2615</v>
      </c>
      <c r="F24" s="84">
        <v>10321</v>
      </c>
      <c r="H24" s="87">
        <v>11597</v>
      </c>
      <c r="J24" s="84">
        <f>(11597/+(H21+H31))*(+J21+J31)</f>
        <v>12234.885056858753</v>
      </c>
      <c r="K24" s="84"/>
      <c r="M24" s="80">
        <f t="shared" si="0"/>
        <v>3058.7212642146883</v>
      </c>
      <c r="O24" s="87">
        <v>3132</v>
      </c>
      <c r="Q24" s="87">
        <f t="shared" si="1"/>
        <v>-73.27873578531171</v>
      </c>
      <c r="S24" s="87">
        <v>2899</v>
      </c>
    </row>
    <row r="25" spans="1:19" x14ac:dyDescent="0.35">
      <c r="A25" s="83" t="s">
        <v>2616</v>
      </c>
      <c r="D25" s="83" t="s">
        <v>2617</v>
      </c>
      <c r="F25" s="84">
        <v>0</v>
      </c>
      <c r="H25" s="87">
        <v>1606</v>
      </c>
      <c r="J25" s="84">
        <v>0</v>
      </c>
      <c r="K25" s="84"/>
      <c r="M25" s="80">
        <f t="shared" si="0"/>
        <v>0</v>
      </c>
      <c r="O25" s="87">
        <v>60</v>
      </c>
      <c r="Q25" s="87">
        <f t="shared" si="1"/>
        <v>-60</v>
      </c>
      <c r="S25" s="87">
        <v>422</v>
      </c>
    </row>
    <row r="26" spans="1:19" x14ac:dyDescent="0.35">
      <c r="A26" s="83" t="s">
        <v>2618</v>
      </c>
      <c r="D26" s="83" t="s">
        <v>2619</v>
      </c>
      <c r="F26" s="84">
        <v>0</v>
      </c>
      <c r="H26" s="87">
        <v>-53</v>
      </c>
      <c r="J26" s="84">
        <v>0</v>
      </c>
      <c r="K26" s="84"/>
      <c r="M26" s="80">
        <f t="shared" si="0"/>
        <v>0</v>
      </c>
      <c r="O26" s="87">
        <v>0</v>
      </c>
      <c r="Q26" s="87">
        <f t="shared" si="1"/>
        <v>0</v>
      </c>
      <c r="S26" s="87">
        <v>0</v>
      </c>
    </row>
    <row r="27" spans="1:19" x14ac:dyDescent="0.35">
      <c r="A27" s="83" t="s">
        <v>2620</v>
      </c>
      <c r="D27" s="83" t="s">
        <v>2621</v>
      </c>
      <c r="F27" s="84">
        <v>0</v>
      </c>
      <c r="H27" s="87">
        <v>0</v>
      </c>
      <c r="J27" s="84">
        <v>0</v>
      </c>
      <c r="K27" s="84"/>
      <c r="M27" s="80">
        <f t="shared" si="0"/>
        <v>0</v>
      </c>
      <c r="O27" s="87">
        <v>0</v>
      </c>
      <c r="Q27" s="87">
        <f t="shared" si="1"/>
        <v>0</v>
      </c>
      <c r="S27" s="87">
        <v>0</v>
      </c>
    </row>
    <row r="28" spans="1:19" x14ac:dyDescent="0.35">
      <c r="A28" s="83" t="s">
        <v>2622</v>
      </c>
      <c r="D28" s="83" t="s">
        <v>2623</v>
      </c>
      <c r="F28" s="84">
        <v>0</v>
      </c>
      <c r="H28" s="87">
        <v>1158</v>
      </c>
      <c r="J28" s="84">
        <v>0</v>
      </c>
      <c r="K28" s="84"/>
      <c r="M28" s="80">
        <f t="shared" si="0"/>
        <v>0</v>
      </c>
      <c r="O28" s="87">
        <v>83</v>
      </c>
      <c r="Q28" s="87">
        <f t="shared" si="1"/>
        <v>-83</v>
      </c>
      <c r="S28" s="87">
        <v>633</v>
      </c>
    </row>
    <row r="29" spans="1:19" x14ac:dyDescent="0.35">
      <c r="A29" s="83" t="s">
        <v>2624</v>
      </c>
      <c r="D29" s="83" t="s">
        <v>2625</v>
      </c>
      <c r="F29" s="84">
        <v>0</v>
      </c>
      <c r="H29" s="87">
        <v>0</v>
      </c>
      <c r="J29" s="84">
        <v>0</v>
      </c>
      <c r="K29" s="84"/>
      <c r="M29" s="80">
        <f t="shared" si="0"/>
        <v>0</v>
      </c>
      <c r="O29" s="87">
        <v>0</v>
      </c>
      <c r="Q29" s="87">
        <f t="shared" si="1"/>
        <v>0</v>
      </c>
      <c r="S29" s="87">
        <v>0</v>
      </c>
    </row>
    <row r="30" spans="1:19" x14ac:dyDescent="0.35">
      <c r="A30" s="83" t="s">
        <v>2626</v>
      </c>
      <c r="D30" s="83" t="s">
        <v>2627</v>
      </c>
      <c r="F30" s="84">
        <v>0</v>
      </c>
      <c r="H30" s="87">
        <v>1164</v>
      </c>
      <c r="J30" s="84">
        <v>0</v>
      </c>
      <c r="K30" s="84"/>
      <c r="M30" s="80">
        <f t="shared" si="0"/>
        <v>0</v>
      </c>
      <c r="O30" s="87">
        <v>0</v>
      </c>
      <c r="Q30" s="87">
        <f t="shared" si="1"/>
        <v>0</v>
      </c>
      <c r="S30" s="87">
        <v>0</v>
      </c>
    </row>
    <row r="31" spans="1:19" x14ac:dyDescent="0.35">
      <c r="A31" s="83" t="s">
        <v>2628</v>
      </c>
      <c r="D31" s="83" t="s">
        <v>2629</v>
      </c>
      <c r="F31" s="84">
        <v>28800</v>
      </c>
      <c r="H31" s="87">
        <v>28800</v>
      </c>
      <c r="J31" s="84">
        <v>28800</v>
      </c>
      <c r="K31" s="84"/>
      <c r="M31" s="80">
        <f t="shared" si="0"/>
        <v>7200</v>
      </c>
      <c r="O31" s="87">
        <v>9600</v>
      </c>
      <c r="Q31" s="87">
        <f t="shared" si="1"/>
        <v>-2400</v>
      </c>
      <c r="S31" s="87">
        <v>7200</v>
      </c>
    </row>
    <row r="32" spans="1:19" x14ac:dyDescent="0.35">
      <c r="A32" s="83" t="s">
        <v>2630</v>
      </c>
      <c r="D32" s="83" t="s">
        <v>2631</v>
      </c>
      <c r="F32" s="84">
        <v>7000</v>
      </c>
      <c r="H32" s="87">
        <v>12173</v>
      </c>
      <c r="J32" s="84">
        <v>7000</v>
      </c>
      <c r="K32" s="84"/>
      <c r="M32" s="80">
        <f t="shared" si="0"/>
        <v>1750</v>
      </c>
      <c r="O32" s="87">
        <v>2343</v>
      </c>
      <c r="Q32" s="87">
        <f t="shared" si="1"/>
        <v>-593</v>
      </c>
      <c r="S32" s="87">
        <v>2090</v>
      </c>
    </row>
    <row r="33" spans="1:19" x14ac:dyDescent="0.35">
      <c r="A33" s="83" t="s">
        <v>2632</v>
      </c>
      <c r="D33" s="83" t="s">
        <v>2633</v>
      </c>
      <c r="F33" s="84">
        <v>8275</v>
      </c>
      <c r="H33" s="87">
        <v>5275</v>
      </c>
      <c r="J33" s="84">
        <v>8275</v>
      </c>
      <c r="K33" s="84"/>
      <c r="M33" s="80">
        <f t="shared" si="0"/>
        <v>2068.75</v>
      </c>
      <c r="O33" s="87">
        <v>150</v>
      </c>
      <c r="Q33" s="87">
        <f t="shared" si="1"/>
        <v>1918.75</v>
      </c>
      <c r="S33" s="87">
        <v>288</v>
      </c>
    </row>
    <row r="34" spans="1:19" ht="13.9" x14ac:dyDescent="0.35">
      <c r="D34" s="82" t="s">
        <v>1040</v>
      </c>
      <c r="F34" s="85">
        <f>SUM(F20:F33)</f>
        <v>133315</v>
      </c>
      <c r="H34" s="85">
        <f>SUM(H20:H33)</f>
        <v>133316</v>
      </c>
      <c r="J34" s="85">
        <f>SUM(J20:J33)</f>
        <v>142532.88505685877</v>
      </c>
      <c r="K34" s="108"/>
      <c r="M34" s="85">
        <f>SUM(M20:M33)</f>
        <v>35633.221264214691</v>
      </c>
      <c r="O34" s="85">
        <f>SUM(O20:O33)</f>
        <v>35447</v>
      </c>
      <c r="Q34" s="74">
        <f>SUM(Q20:Q33)</f>
        <v>186.22126421468829</v>
      </c>
      <c r="S34" s="74">
        <f>SUM(S20:S33)</f>
        <v>30273</v>
      </c>
    </row>
    <row r="36" spans="1:19" ht="13.9" x14ac:dyDescent="0.35">
      <c r="D36" s="82" t="s">
        <v>1041</v>
      </c>
    </row>
    <row r="37" spans="1:19" x14ac:dyDescent="0.35">
      <c r="A37" s="83" t="s">
        <v>2634</v>
      </c>
      <c r="D37" s="83" t="s">
        <v>2619</v>
      </c>
      <c r="F37" s="84">
        <v>0</v>
      </c>
      <c r="H37" s="84">
        <v>0</v>
      </c>
      <c r="J37" s="84">
        <v>0</v>
      </c>
      <c r="K37" s="84"/>
      <c r="M37" s="80">
        <f>+J37/12*3</f>
        <v>0</v>
      </c>
      <c r="O37" s="84">
        <v>0</v>
      </c>
      <c r="Q37" s="87">
        <f t="shared" ref="Q37:Q44" si="2">+M37-O37</f>
        <v>0</v>
      </c>
      <c r="S37" s="87">
        <v>0</v>
      </c>
    </row>
    <row r="38" spans="1:19" x14ac:dyDescent="0.35">
      <c r="A38" s="83" t="s">
        <v>2635</v>
      </c>
      <c r="D38" s="83" t="s">
        <v>2675</v>
      </c>
      <c r="F38" s="84">
        <v>0</v>
      </c>
      <c r="H38" s="84">
        <v>0</v>
      </c>
      <c r="J38" s="84">
        <v>0</v>
      </c>
      <c r="K38" s="84"/>
      <c r="M38" s="80">
        <f t="shared" ref="M38:M44" si="3">+J38/12*3</f>
        <v>0</v>
      </c>
      <c r="O38" s="84">
        <v>0</v>
      </c>
      <c r="Q38" s="87">
        <f t="shared" si="2"/>
        <v>0</v>
      </c>
      <c r="S38" s="87">
        <v>0</v>
      </c>
    </row>
    <row r="39" spans="1:19" x14ac:dyDescent="0.35">
      <c r="A39" s="83" t="s">
        <v>2636</v>
      </c>
      <c r="D39" s="83" t="s">
        <v>2625</v>
      </c>
      <c r="F39" s="84">
        <v>0</v>
      </c>
      <c r="H39" s="84">
        <v>0</v>
      </c>
      <c r="J39" s="84">
        <v>0</v>
      </c>
      <c r="K39" s="84"/>
      <c r="M39" s="80">
        <f t="shared" si="3"/>
        <v>0</v>
      </c>
      <c r="O39" s="84">
        <v>0</v>
      </c>
      <c r="Q39" s="87">
        <f t="shared" si="2"/>
        <v>0</v>
      </c>
      <c r="S39" s="87">
        <v>0</v>
      </c>
    </row>
    <row r="40" spans="1:19" x14ac:dyDescent="0.35">
      <c r="A40" s="83" t="s">
        <v>2637</v>
      </c>
      <c r="D40" s="83" t="s">
        <v>1046</v>
      </c>
      <c r="F40" s="84">
        <v>0</v>
      </c>
      <c r="H40" s="84">
        <v>0</v>
      </c>
      <c r="J40" s="84">
        <v>0</v>
      </c>
      <c r="K40" s="84"/>
      <c r="M40" s="80">
        <f t="shared" si="3"/>
        <v>0</v>
      </c>
      <c r="O40" s="84">
        <v>0</v>
      </c>
      <c r="Q40" s="87">
        <f t="shared" si="2"/>
        <v>0</v>
      </c>
      <c r="S40" s="87">
        <v>0</v>
      </c>
    </row>
    <row r="41" spans="1:19" x14ac:dyDescent="0.35">
      <c r="A41" s="83" t="s">
        <v>2638</v>
      </c>
      <c r="D41" s="83" t="s">
        <v>2653</v>
      </c>
      <c r="F41" s="84">
        <v>0</v>
      </c>
      <c r="H41" s="84">
        <v>0</v>
      </c>
      <c r="J41" s="84">
        <v>0</v>
      </c>
      <c r="K41" s="84"/>
      <c r="M41" s="80">
        <f t="shared" si="3"/>
        <v>0</v>
      </c>
      <c r="O41" s="84">
        <v>0</v>
      </c>
      <c r="Q41" s="87">
        <f t="shared" si="2"/>
        <v>0</v>
      </c>
      <c r="S41" s="87">
        <v>0</v>
      </c>
    </row>
    <row r="42" spans="1:19" x14ac:dyDescent="0.35">
      <c r="A42" s="83" t="s">
        <v>2639</v>
      </c>
      <c r="D42" s="83" t="s">
        <v>2633</v>
      </c>
      <c r="F42" s="84">
        <v>0</v>
      </c>
      <c r="H42" s="84">
        <v>0</v>
      </c>
      <c r="J42" s="84">
        <v>0</v>
      </c>
      <c r="K42" s="84"/>
      <c r="M42" s="80">
        <f t="shared" si="3"/>
        <v>0</v>
      </c>
      <c r="O42" s="84">
        <v>0</v>
      </c>
      <c r="Q42" s="87">
        <f t="shared" si="2"/>
        <v>0</v>
      </c>
      <c r="S42" s="87">
        <v>0</v>
      </c>
    </row>
    <row r="43" spans="1:19" x14ac:dyDescent="0.35">
      <c r="A43" s="83" t="s">
        <v>2640</v>
      </c>
      <c r="D43" s="83" t="s">
        <v>2641</v>
      </c>
      <c r="F43" s="84">
        <v>465</v>
      </c>
      <c r="H43" s="84">
        <v>0</v>
      </c>
      <c r="J43" s="84">
        <v>465</v>
      </c>
      <c r="K43" s="84"/>
      <c r="M43" s="80">
        <f t="shared" si="3"/>
        <v>116.25</v>
      </c>
      <c r="O43" s="84">
        <v>0</v>
      </c>
      <c r="Q43" s="87">
        <f t="shared" si="2"/>
        <v>116.25</v>
      </c>
      <c r="S43" s="87">
        <v>0</v>
      </c>
    </row>
    <row r="44" spans="1:19" x14ac:dyDescent="0.35">
      <c r="A44" s="83" t="s">
        <v>2642</v>
      </c>
      <c r="D44" s="83" t="s">
        <v>1047</v>
      </c>
      <c r="F44" s="84">
        <v>0</v>
      </c>
      <c r="H44" s="84">
        <v>0</v>
      </c>
      <c r="J44" s="84">
        <v>0</v>
      </c>
      <c r="K44" s="84"/>
      <c r="M44" s="80">
        <f t="shared" si="3"/>
        <v>0</v>
      </c>
      <c r="O44" s="84">
        <v>0</v>
      </c>
      <c r="Q44" s="87">
        <f t="shared" si="2"/>
        <v>0</v>
      </c>
      <c r="S44" s="87">
        <v>0</v>
      </c>
    </row>
    <row r="45" spans="1:19" ht="13.9" x14ac:dyDescent="0.4">
      <c r="B45" s="82"/>
      <c r="D45" s="88" t="s">
        <v>1042</v>
      </c>
      <c r="F45" s="85">
        <f>SUM(F37:F44)</f>
        <v>465</v>
      </c>
      <c r="H45" s="85">
        <f>SUM(H37:H44)</f>
        <v>0</v>
      </c>
      <c r="J45" s="85">
        <f>SUM(J37:J44)</f>
        <v>465</v>
      </c>
      <c r="K45" s="108"/>
      <c r="M45" s="85">
        <f>SUM(M37:M44)</f>
        <v>116.25</v>
      </c>
      <c r="O45" s="85">
        <f>SUM(O37:O44)</f>
        <v>0</v>
      </c>
      <c r="Q45" s="74">
        <f>SUM(Q37:Q44)</f>
        <v>116.25</v>
      </c>
      <c r="S45" s="74">
        <f>SUM(S37:S44)</f>
        <v>0</v>
      </c>
    </row>
    <row r="47" spans="1:19" ht="13.9" x14ac:dyDescent="0.35">
      <c r="D47" s="82" t="s">
        <v>1043</v>
      </c>
    </row>
    <row r="48" spans="1:19" hidden="1" x14ac:dyDescent="0.35">
      <c r="A48" s="83" t="s">
        <v>2643</v>
      </c>
      <c r="D48" s="83" t="s">
        <v>2644</v>
      </c>
      <c r="F48" s="84">
        <v>0</v>
      </c>
      <c r="H48" s="84">
        <v>0</v>
      </c>
      <c r="J48" s="84">
        <v>0</v>
      </c>
      <c r="K48" s="84"/>
      <c r="M48" s="84">
        <v>0</v>
      </c>
      <c r="O48" s="84">
        <v>0</v>
      </c>
      <c r="Q48" s="87">
        <v>0</v>
      </c>
      <c r="S48" s="87">
        <v>0</v>
      </c>
    </row>
    <row r="49" spans="1:19" x14ac:dyDescent="0.35">
      <c r="A49" s="83" t="s">
        <v>2645</v>
      </c>
      <c r="D49" s="83" t="s">
        <v>2633</v>
      </c>
      <c r="F49" s="84">
        <v>20230</v>
      </c>
      <c r="H49" s="84">
        <v>16000</v>
      </c>
      <c r="J49" s="84">
        <v>20230</v>
      </c>
      <c r="K49" s="84"/>
      <c r="M49" s="80">
        <f>+J49/12*3</f>
        <v>5057.5</v>
      </c>
      <c r="O49" s="84">
        <v>9752</v>
      </c>
      <c r="Q49" s="87">
        <f>+M49-O49</f>
        <v>-4694.5</v>
      </c>
      <c r="S49" s="87">
        <v>3000</v>
      </c>
    </row>
    <row r="50" spans="1:19" ht="13.9" x14ac:dyDescent="0.4">
      <c r="B50" s="82"/>
      <c r="D50" s="88" t="s">
        <v>1042</v>
      </c>
      <c r="F50" s="85">
        <f>SUM(F48:F49)</f>
        <v>20230</v>
      </c>
      <c r="H50" s="85">
        <f>SUM(H48:H49)</f>
        <v>16000</v>
      </c>
      <c r="J50" s="85">
        <f>SUM(J48:J49)</f>
        <v>20230</v>
      </c>
      <c r="K50" s="108"/>
      <c r="M50" s="85">
        <f>SUM(M48:M49)</f>
        <v>5057.5</v>
      </c>
      <c r="O50" s="85">
        <f>SUM(O48:O49)</f>
        <v>9752</v>
      </c>
      <c r="Q50" s="74">
        <f>SUM(Q48:Q49)</f>
        <v>-4694.5</v>
      </c>
      <c r="S50" s="74">
        <f>SUM(S48:S49)</f>
        <v>3000</v>
      </c>
    </row>
    <row r="52" spans="1:19" ht="13.9" x14ac:dyDescent="0.35">
      <c r="D52" s="82" t="s">
        <v>1039</v>
      </c>
    </row>
    <row r="53" spans="1:19" hidden="1" x14ac:dyDescent="0.35">
      <c r="A53" s="83" t="s">
        <v>2646</v>
      </c>
      <c r="D53" s="83" t="s">
        <v>2647</v>
      </c>
      <c r="F53" s="84">
        <v>0</v>
      </c>
      <c r="H53" s="84">
        <v>0</v>
      </c>
      <c r="J53" s="84">
        <v>0</v>
      </c>
      <c r="K53" s="84"/>
      <c r="M53" s="84">
        <v>0</v>
      </c>
      <c r="O53" s="84">
        <v>0</v>
      </c>
      <c r="Q53" s="87">
        <v>0</v>
      </c>
      <c r="S53" s="87">
        <v>0</v>
      </c>
    </row>
    <row r="54" spans="1:19" x14ac:dyDescent="0.35">
      <c r="A54" s="83" t="s">
        <v>2648</v>
      </c>
      <c r="D54" s="83" t="s">
        <v>2633</v>
      </c>
      <c r="F54" s="84">
        <v>930</v>
      </c>
      <c r="H54" s="84">
        <v>0</v>
      </c>
      <c r="J54" s="84">
        <v>930</v>
      </c>
      <c r="K54" s="84"/>
      <c r="M54" s="80">
        <f>+J54/12*3</f>
        <v>232.5</v>
      </c>
      <c r="O54" s="84">
        <v>2408</v>
      </c>
      <c r="Q54" s="87">
        <f>+M54-O54</f>
        <v>-2175.5</v>
      </c>
      <c r="S54" s="87">
        <v>0</v>
      </c>
    </row>
    <row r="55" spans="1:19" ht="13.9" x14ac:dyDescent="0.4">
      <c r="B55" s="82"/>
      <c r="D55" s="88" t="s">
        <v>1042</v>
      </c>
      <c r="F55" s="85">
        <f>SUM(F53:F54)</f>
        <v>930</v>
      </c>
      <c r="H55" s="85">
        <f>SUM(H53:H54)</f>
        <v>0</v>
      </c>
      <c r="J55" s="85">
        <f>SUM(J53:J54)</f>
        <v>930</v>
      </c>
      <c r="K55" s="108"/>
      <c r="M55" s="85">
        <f>SUM(M53:M54)</f>
        <v>232.5</v>
      </c>
      <c r="O55" s="85">
        <f>SUM(O53:O54)</f>
        <v>2408</v>
      </c>
      <c r="Q55" s="74">
        <f>SUM(Q53:Q54)</f>
        <v>-2175.5</v>
      </c>
      <c r="S55" s="74">
        <f>SUM(S53:S54)</f>
        <v>0</v>
      </c>
    </row>
    <row r="57" spans="1:19" ht="13.9" x14ac:dyDescent="0.35">
      <c r="D57" s="82" t="s">
        <v>1044</v>
      </c>
      <c r="F57" s="86">
        <f>+F55+F50+F45+F34</f>
        <v>154940</v>
      </c>
      <c r="H57" s="86">
        <f>+H55+H50+H45+H34</f>
        <v>149316</v>
      </c>
      <c r="J57" s="86">
        <f>+J55+J50+J45+J34</f>
        <v>164157.88505685877</v>
      </c>
      <c r="K57" s="108"/>
      <c r="M57" s="86">
        <f>+M55+M50+M45+M34</f>
        <v>41039.471264214691</v>
      </c>
      <c r="O57" s="86">
        <f>+O55+O50+O45+O34</f>
        <v>47607</v>
      </c>
      <c r="Q57" s="75">
        <f>+Q55+Q50+Q45+Q34</f>
        <v>-6567.5287357853122</v>
      </c>
      <c r="S57" s="75">
        <f>+S55+S50+S45+S34</f>
        <v>33273</v>
      </c>
    </row>
    <row r="59" spans="1:19" ht="13.9" x14ac:dyDescent="0.35">
      <c r="D59" s="116" t="s">
        <v>1048</v>
      </c>
    </row>
    <row r="60" spans="1:19" ht="13.9" x14ac:dyDescent="0.35">
      <c r="A60" s="82" t="s">
        <v>2649</v>
      </c>
    </row>
    <row r="61" spans="1:19" hidden="1" x14ac:dyDescent="0.35">
      <c r="A61" s="83" t="s">
        <v>2650</v>
      </c>
      <c r="D61" s="83" t="s">
        <v>2647</v>
      </c>
      <c r="F61" s="84">
        <v>0</v>
      </c>
      <c r="H61" s="84">
        <v>0</v>
      </c>
      <c r="J61" s="84">
        <v>0</v>
      </c>
      <c r="K61" s="84"/>
      <c r="M61" s="84">
        <v>0</v>
      </c>
      <c r="O61" s="84">
        <v>0</v>
      </c>
      <c r="Q61" s="87">
        <v>0</v>
      </c>
      <c r="S61" s="87">
        <v>0</v>
      </c>
    </row>
    <row r="62" spans="1:19" hidden="1" x14ac:dyDescent="0.35">
      <c r="A62" s="83" t="s">
        <v>2651</v>
      </c>
      <c r="D62" s="83" t="s">
        <v>2625</v>
      </c>
      <c r="F62" s="84">
        <v>0</v>
      </c>
      <c r="H62" s="84">
        <v>0</v>
      </c>
      <c r="J62" s="84">
        <v>0</v>
      </c>
      <c r="K62" s="84"/>
      <c r="M62" s="84">
        <v>0</v>
      </c>
      <c r="O62" s="84">
        <v>0</v>
      </c>
      <c r="Q62" s="87">
        <v>0</v>
      </c>
      <c r="S62" s="87">
        <v>0</v>
      </c>
    </row>
    <row r="63" spans="1:19" hidden="1" x14ac:dyDescent="0.35">
      <c r="A63" s="83" t="s">
        <v>2652</v>
      </c>
      <c r="D63" s="83" t="s">
        <v>2653</v>
      </c>
      <c r="F63" s="84">
        <v>0</v>
      </c>
      <c r="H63" s="84">
        <v>0</v>
      </c>
      <c r="J63" s="84">
        <v>0</v>
      </c>
      <c r="K63" s="84"/>
      <c r="M63" s="84">
        <v>0</v>
      </c>
      <c r="O63" s="84">
        <v>0</v>
      </c>
      <c r="Q63" s="87">
        <v>0</v>
      </c>
      <c r="S63" s="87">
        <v>0</v>
      </c>
    </row>
    <row r="64" spans="1:19" x14ac:dyDescent="0.35">
      <c r="A64" s="83" t="s">
        <v>2654</v>
      </c>
      <c r="D64" s="83" t="s">
        <v>2655</v>
      </c>
      <c r="F64" s="84">
        <v>0</v>
      </c>
      <c r="H64" s="84">
        <v>0</v>
      </c>
      <c r="J64" s="84">
        <v>0</v>
      </c>
      <c r="K64" s="84"/>
      <c r="M64" s="84">
        <v>0</v>
      </c>
      <c r="O64" s="84">
        <v>0</v>
      </c>
      <c r="Q64" s="87">
        <v>0</v>
      </c>
      <c r="S64" s="87">
        <v>150</v>
      </c>
    </row>
    <row r="65" spans="1:19" x14ac:dyDescent="0.35">
      <c r="A65" s="83" t="s">
        <v>2656</v>
      </c>
      <c r="D65" s="83" t="s">
        <v>2633</v>
      </c>
      <c r="F65" s="84">
        <v>0</v>
      </c>
      <c r="H65" s="84">
        <v>0</v>
      </c>
      <c r="J65" s="84">
        <v>0</v>
      </c>
      <c r="K65" s="84"/>
      <c r="M65" s="84">
        <v>0</v>
      </c>
      <c r="O65" s="84">
        <v>0</v>
      </c>
      <c r="Q65" s="87">
        <v>0</v>
      </c>
      <c r="S65" s="87">
        <v>60</v>
      </c>
    </row>
    <row r="66" spans="1:19" hidden="1" x14ac:dyDescent="0.35">
      <c r="A66" s="83" t="s">
        <v>2657</v>
      </c>
      <c r="D66" s="83" t="s">
        <v>2658</v>
      </c>
      <c r="F66" s="84">
        <v>0</v>
      </c>
      <c r="H66" s="84">
        <v>0</v>
      </c>
      <c r="J66" s="84">
        <v>0</v>
      </c>
      <c r="K66" s="84"/>
      <c r="M66" s="84">
        <v>0</v>
      </c>
      <c r="O66" s="84">
        <v>0</v>
      </c>
      <c r="Q66" s="87">
        <v>0</v>
      </c>
      <c r="S66" s="87">
        <v>0</v>
      </c>
    </row>
    <row r="67" spans="1:19" ht="13.9" x14ac:dyDescent="0.4">
      <c r="B67" s="82" t="s">
        <v>2659</v>
      </c>
      <c r="D67" s="88" t="s">
        <v>1042</v>
      </c>
      <c r="F67" s="85">
        <f>SUM(F61:F66)</f>
        <v>0</v>
      </c>
      <c r="H67" s="74">
        <f>SUM(H61:H66)</f>
        <v>0</v>
      </c>
      <c r="J67" s="85">
        <f>SUM(J61:J66)</f>
        <v>0</v>
      </c>
      <c r="K67" s="108"/>
      <c r="M67" s="85">
        <f>SUM(M61:M66)</f>
        <v>0</v>
      </c>
      <c r="O67" s="74">
        <f>SUM(O61:O66)</f>
        <v>0</v>
      </c>
      <c r="Q67" s="74">
        <f>SUM(Q61:Q66)</f>
        <v>0</v>
      </c>
      <c r="S67" s="74">
        <f>SUM(S61:S66)</f>
        <v>210</v>
      </c>
    </row>
    <row r="69" spans="1:19" ht="13.9" x14ac:dyDescent="0.35">
      <c r="D69" s="82" t="s">
        <v>2175</v>
      </c>
    </row>
    <row r="70" spans="1:19" x14ac:dyDescent="0.35">
      <c r="A70" s="83" t="s">
        <v>2660</v>
      </c>
      <c r="D70" s="83" t="s">
        <v>2661</v>
      </c>
      <c r="F70" s="84">
        <v>0</v>
      </c>
      <c r="H70" s="87">
        <v>-18427</v>
      </c>
      <c r="J70" s="84">
        <v>0</v>
      </c>
      <c r="K70" s="84"/>
      <c r="M70" s="80">
        <f>+J70/12*3</f>
        <v>0</v>
      </c>
      <c r="O70" s="87">
        <v>0</v>
      </c>
      <c r="Q70" s="87">
        <f t="shared" ref="Q70:Q89" si="4">+M70-O70</f>
        <v>0</v>
      </c>
      <c r="S70" s="87">
        <v>0</v>
      </c>
    </row>
    <row r="71" spans="1:19" x14ac:dyDescent="0.35">
      <c r="A71" s="83"/>
      <c r="D71" s="83" t="s">
        <v>2662</v>
      </c>
      <c r="F71" s="84">
        <v>0</v>
      </c>
      <c r="H71" s="87">
        <v>-567</v>
      </c>
      <c r="J71" s="84">
        <v>0</v>
      </c>
      <c r="K71" s="84"/>
      <c r="M71" s="80">
        <f t="shared" ref="M71:M89" si="5">+J71/12*3</f>
        <v>0</v>
      </c>
      <c r="O71" s="87">
        <v>0</v>
      </c>
      <c r="Q71" s="87">
        <f t="shared" si="4"/>
        <v>0</v>
      </c>
      <c r="S71" s="87">
        <v>0</v>
      </c>
    </row>
    <row r="72" spans="1:19" x14ac:dyDescent="0.35">
      <c r="A72" s="83" t="s">
        <v>2663</v>
      </c>
      <c r="D72" s="83" t="s">
        <v>2664</v>
      </c>
      <c r="F72" s="84">
        <v>54204</v>
      </c>
      <c r="H72" s="84">
        <v>46670</v>
      </c>
      <c r="J72" s="84">
        <v>57253</v>
      </c>
      <c r="K72" s="84"/>
      <c r="M72" s="80">
        <f t="shared" si="5"/>
        <v>14313.25</v>
      </c>
      <c r="O72" s="84">
        <v>13938</v>
      </c>
      <c r="Q72" s="87">
        <f t="shared" si="4"/>
        <v>375.25</v>
      </c>
      <c r="S72" s="87">
        <v>11293</v>
      </c>
    </row>
    <row r="73" spans="1:19" x14ac:dyDescent="0.35">
      <c r="A73" s="83" t="s">
        <v>2665</v>
      </c>
      <c r="D73" s="83" t="s">
        <v>2666</v>
      </c>
      <c r="F73" s="84">
        <v>0</v>
      </c>
      <c r="H73" s="84">
        <v>0</v>
      </c>
      <c r="J73" s="84">
        <v>0</v>
      </c>
      <c r="K73" s="84"/>
      <c r="M73" s="80">
        <f t="shared" si="5"/>
        <v>0</v>
      </c>
      <c r="O73" s="84">
        <v>0</v>
      </c>
      <c r="Q73" s="87">
        <f t="shared" si="4"/>
        <v>0</v>
      </c>
      <c r="S73" s="87">
        <v>0</v>
      </c>
    </row>
    <row r="74" spans="1:19" x14ac:dyDescent="0.35">
      <c r="A74" s="83" t="s">
        <v>2667</v>
      </c>
      <c r="D74" s="83" t="s">
        <v>2668</v>
      </c>
      <c r="F74" s="84">
        <v>450</v>
      </c>
      <c r="H74" s="84">
        <v>450</v>
      </c>
      <c r="J74" s="84">
        <v>500</v>
      </c>
      <c r="K74" s="84"/>
      <c r="M74" s="80">
        <f t="shared" si="5"/>
        <v>125</v>
      </c>
      <c r="O74" s="84">
        <v>0</v>
      </c>
      <c r="Q74" s="87">
        <f t="shared" si="4"/>
        <v>125</v>
      </c>
      <c r="S74" s="87">
        <v>0</v>
      </c>
    </row>
    <row r="75" spans="1:19" x14ac:dyDescent="0.35">
      <c r="A75" s="83" t="s">
        <v>2669</v>
      </c>
      <c r="D75" s="83" t="s">
        <v>2670</v>
      </c>
      <c r="F75" s="84">
        <v>13290</v>
      </c>
      <c r="H75" s="84">
        <v>13290</v>
      </c>
      <c r="J75" s="84">
        <v>15433</v>
      </c>
      <c r="K75" s="84"/>
      <c r="M75" s="80">
        <f t="shared" si="5"/>
        <v>3858.25</v>
      </c>
      <c r="O75" s="84">
        <v>3591</v>
      </c>
      <c r="Q75" s="87">
        <f t="shared" si="4"/>
        <v>267.25</v>
      </c>
      <c r="S75" s="87">
        <v>3323</v>
      </c>
    </row>
    <row r="76" spans="1:19" x14ac:dyDescent="0.35">
      <c r="A76" s="83" t="s">
        <v>2671</v>
      </c>
      <c r="D76" s="83" t="s">
        <v>2615</v>
      </c>
      <c r="F76" s="84">
        <v>10209</v>
      </c>
      <c r="H76" s="84">
        <v>10209</v>
      </c>
      <c r="J76" s="84">
        <f>10209/(46670+24034)*(57253+15784)</f>
        <v>10545.863501357773</v>
      </c>
      <c r="K76" s="84"/>
      <c r="M76" s="80">
        <f t="shared" si="5"/>
        <v>2636.4658753394433</v>
      </c>
      <c r="O76" s="84">
        <v>2743</v>
      </c>
      <c r="Q76" s="87">
        <f t="shared" si="4"/>
        <v>-106.5341246605567</v>
      </c>
      <c r="S76" s="87">
        <v>2552</v>
      </c>
    </row>
    <row r="77" spans="1:19" x14ac:dyDescent="0.35">
      <c r="A77" s="83" t="s">
        <v>2672</v>
      </c>
      <c r="D77" s="83" t="s">
        <v>2617</v>
      </c>
      <c r="F77" s="84">
        <v>350</v>
      </c>
      <c r="H77" s="84">
        <v>2202</v>
      </c>
      <c r="J77" s="84">
        <v>2000</v>
      </c>
      <c r="K77" s="84"/>
      <c r="M77" s="80">
        <f t="shared" si="5"/>
        <v>500</v>
      </c>
      <c r="O77" s="84">
        <v>527</v>
      </c>
      <c r="Q77" s="87">
        <f t="shared" si="4"/>
        <v>-27</v>
      </c>
      <c r="S77" s="87">
        <v>320</v>
      </c>
    </row>
    <row r="78" spans="1:19" x14ac:dyDescent="0.35">
      <c r="A78" s="83" t="s">
        <v>2673</v>
      </c>
      <c r="D78" s="83" t="s">
        <v>2647</v>
      </c>
      <c r="F78" s="84">
        <v>500</v>
      </c>
      <c r="H78" s="84">
        <v>485</v>
      </c>
      <c r="J78" s="84">
        <v>500</v>
      </c>
      <c r="K78" s="84"/>
      <c r="M78" s="80">
        <f t="shared" si="5"/>
        <v>125</v>
      </c>
      <c r="O78" s="84">
        <v>0</v>
      </c>
      <c r="Q78" s="87">
        <f t="shared" si="4"/>
        <v>125</v>
      </c>
      <c r="S78" s="87">
        <v>0</v>
      </c>
    </row>
    <row r="79" spans="1:19" x14ac:dyDescent="0.35">
      <c r="A79" s="83" t="s">
        <v>2674</v>
      </c>
      <c r="D79" s="83" t="s">
        <v>2675</v>
      </c>
      <c r="F79" s="84">
        <v>700</v>
      </c>
      <c r="H79" s="84">
        <v>992</v>
      </c>
      <c r="J79" s="84">
        <v>1000</v>
      </c>
      <c r="K79" s="84"/>
      <c r="M79" s="80">
        <f t="shared" si="5"/>
        <v>250</v>
      </c>
      <c r="O79" s="84">
        <v>121</v>
      </c>
      <c r="Q79" s="87">
        <f t="shared" si="4"/>
        <v>129</v>
      </c>
      <c r="S79" s="87">
        <v>339</v>
      </c>
    </row>
    <row r="80" spans="1:19" x14ac:dyDescent="0.35">
      <c r="A80" s="83" t="s">
        <v>2676</v>
      </c>
      <c r="D80" s="83" t="s">
        <v>2625</v>
      </c>
      <c r="F80" s="84">
        <v>1000</v>
      </c>
      <c r="H80" s="84">
        <v>0</v>
      </c>
      <c r="J80" s="84">
        <v>500</v>
      </c>
      <c r="K80" s="84"/>
      <c r="M80" s="80">
        <f t="shared" si="5"/>
        <v>125</v>
      </c>
      <c r="O80" s="84">
        <v>0</v>
      </c>
      <c r="Q80" s="87">
        <f t="shared" si="4"/>
        <v>125</v>
      </c>
      <c r="S80" s="87">
        <v>0</v>
      </c>
    </row>
    <row r="81" spans="1:19" x14ac:dyDescent="0.35">
      <c r="A81" s="83" t="s">
        <v>2677</v>
      </c>
      <c r="D81" s="83" t="s">
        <v>2627</v>
      </c>
      <c r="F81" s="84">
        <v>1000</v>
      </c>
      <c r="H81" s="84">
        <v>0</v>
      </c>
      <c r="J81" s="84">
        <v>500</v>
      </c>
      <c r="K81" s="84"/>
      <c r="M81" s="80">
        <f t="shared" si="5"/>
        <v>125</v>
      </c>
      <c r="O81" s="84">
        <v>0</v>
      </c>
      <c r="Q81" s="87">
        <f t="shared" si="4"/>
        <v>125</v>
      </c>
      <c r="S81" s="87">
        <v>0</v>
      </c>
    </row>
    <row r="82" spans="1:19" x14ac:dyDescent="0.35">
      <c r="A82" s="83" t="s">
        <v>2678</v>
      </c>
      <c r="D82" s="83" t="s">
        <v>2629</v>
      </c>
      <c r="F82" s="84">
        <v>16500</v>
      </c>
      <c r="H82" s="84">
        <v>24034</v>
      </c>
      <c r="J82" s="84">
        <v>15784</v>
      </c>
      <c r="K82" s="84"/>
      <c r="M82" s="80">
        <f t="shared" si="5"/>
        <v>3946</v>
      </c>
      <c r="O82" s="84">
        <v>5261</v>
      </c>
      <c r="Q82" s="87">
        <f t="shared" si="4"/>
        <v>-1315</v>
      </c>
      <c r="S82" s="87">
        <v>4125</v>
      </c>
    </row>
    <row r="83" spans="1:19" x14ac:dyDescent="0.35">
      <c r="A83" s="83" t="s">
        <v>2679</v>
      </c>
      <c r="D83" s="83" t="s">
        <v>2631</v>
      </c>
      <c r="F83" s="84">
        <v>7000</v>
      </c>
      <c r="H83" s="84">
        <v>6334</v>
      </c>
      <c r="J83" s="84">
        <v>7000</v>
      </c>
      <c r="K83" s="84"/>
      <c r="M83" s="80">
        <f t="shared" si="5"/>
        <v>1750</v>
      </c>
      <c r="O83" s="84">
        <v>2073</v>
      </c>
      <c r="Q83" s="87">
        <f t="shared" si="4"/>
        <v>-323</v>
      </c>
      <c r="S83" s="87">
        <v>1580</v>
      </c>
    </row>
    <row r="84" spans="1:19" x14ac:dyDescent="0.35">
      <c r="A84" s="83" t="s">
        <v>2680</v>
      </c>
      <c r="D84" s="83" t="s">
        <v>2655</v>
      </c>
      <c r="F84" s="84">
        <v>12000</v>
      </c>
      <c r="H84" s="84">
        <v>11887</v>
      </c>
      <c r="J84" s="84">
        <v>12000</v>
      </c>
      <c r="K84" s="84"/>
      <c r="M84" s="80">
        <f t="shared" si="5"/>
        <v>3000</v>
      </c>
      <c r="O84" s="84">
        <v>770</v>
      </c>
      <c r="Q84" s="87">
        <f t="shared" si="4"/>
        <v>2230</v>
      </c>
      <c r="S84" s="87">
        <f>555</f>
        <v>555</v>
      </c>
    </row>
    <row r="85" spans="1:19" x14ac:dyDescent="0.35">
      <c r="A85" s="83" t="s">
        <v>2681</v>
      </c>
      <c r="D85" s="83" t="s">
        <v>2682</v>
      </c>
      <c r="F85" s="84">
        <v>7000</v>
      </c>
      <c r="H85" s="84">
        <v>0</v>
      </c>
      <c r="J85" s="84">
        <v>7000</v>
      </c>
      <c r="K85" s="84"/>
      <c r="M85" s="80">
        <f t="shared" si="5"/>
        <v>1750</v>
      </c>
      <c r="O85" s="84">
        <v>0</v>
      </c>
      <c r="Q85" s="87">
        <f t="shared" si="4"/>
        <v>1750</v>
      </c>
      <c r="S85" s="87">
        <v>0</v>
      </c>
    </row>
    <row r="86" spans="1:19" x14ac:dyDescent="0.35">
      <c r="A86" s="83" t="s">
        <v>2683</v>
      </c>
      <c r="D86" s="83" t="s">
        <v>2684</v>
      </c>
      <c r="F86" s="84">
        <v>0</v>
      </c>
      <c r="H86" s="84">
        <v>888</v>
      </c>
      <c r="J86" s="84">
        <v>1000</v>
      </c>
      <c r="K86" s="84"/>
      <c r="M86" s="80">
        <f t="shared" si="5"/>
        <v>250</v>
      </c>
      <c r="O86" s="84">
        <v>0</v>
      </c>
      <c r="Q86" s="87">
        <f t="shared" si="4"/>
        <v>250</v>
      </c>
      <c r="S86" s="87">
        <v>631</v>
      </c>
    </row>
    <row r="87" spans="1:19" x14ac:dyDescent="0.35">
      <c r="A87" s="83" t="s">
        <v>2685</v>
      </c>
      <c r="D87" s="83" t="s">
        <v>2633</v>
      </c>
      <c r="F87" s="84">
        <v>5000</v>
      </c>
      <c r="H87" s="84">
        <v>3757</v>
      </c>
      <c r="J87" s="84">
        <v>3000</v>
      </c>
      <c r="K87" s="84"/>
      <c r="M87" s="80">
        <f t="shared" si="5"/>
        <v>750</v>
      </c>
      <c r="O87" s="84">
        <v>1697</v>
      </c>
      <c r="Q87" s="87">
        <f t="shared" si="4"/>
        <v>-947</v>
      </c>
      <c r="S87" s="87">
        <f>1108</f>
        <v>1108</v>
      </c>
    </row>
    <row r="88" spans="1:19" x14ac:dyDescent="0.35">
      <c r="A88" s="83" t="s">
        <v>2686</v>
      </c>
      <c r="D88" s="83" t="s">
        <v>2687</v>
      </c>
      <c r="F88" s="84">
        <v>40000</v>
      </c>
      <c r="H88" s="84">
        <v>32000</v>
      </c>
      <c r="J88" s="84">
        <v>40000</v>
      </c>
      <c r="K88" s="84"/>
      <c r="M88" s="80">
        <f t="shared" si="5"/>
        <v>10000</v>
      </c>
      <c r="O88" s="84">
        <v>0</v>
      </c>
      <c r="Q88" s="87">
        <f t="shared" si="4"/>
        <v>10000</v>
      </c>
      <c r="S88" s="87">
        <v>0</v>
      </c>
    </row>
    <row r="89" spans="1:19" x14ac:dyDescent="0.35">
      <c r="A89" s="83" t="s">
        <v>2688</v>
      </c>
      <c r="D89" s="83" t="s">
        <v>2689</v>
      </c>
      <c r="F89" s="84">
        <v>10000</v>
      </c>
      <c r="H89" s="84">
        <v>45000</v>
      </c>
      <c r="J89" s="84">
        <v>10000</v>
      </c>
      <c r="K89" s="84"/>
      <c r="M89" s="80">
        <f t="shared" si="5"/>
        <v>2500</v>
      </c>
      <c r="O89" s="84">
        <v>0</v>
      </c>
      <c r="Q89" s="87">
        <f t="shared" si="4"/>
        <v>2500</v>
      </c>
      <c r="S89" s="87">
        <v>6250</v>
      </c>
    </row>
    <row r="90" spans="1:19" ht="13.9" x14ac:dyDescent="0.4">
      <c r="B90" s="82"/>
      <c r="D90" s="88" t="s">
        <v>1042</v>
      </c>
      <c r="F90" s="85">
        <f>SUM(F70:F89)</f>
        <v>179203</v>
      </c>
      <c r="H90" s="85">
        <f>SUM(H70:H89)</f>
        <v>179204</v>
      </c>
      <c r="J90" s="85">
        <f>SUM(J70:J89)</f>
        <v>184015.86350135779</v>
      </c>
      <c r="K90" s="108"/>
      <c r="M90" s="85">
        <f>SUM(M70:M89)</f>
        <v>46003.965875339447</v>
      </c>
      <c r="O90" s="85">
        <f>SUM(O70:O89)</f>
        <v>30721</v>
      </c>
      <c r="Q90" s="74">
        <f>SUM(Q70:Q89)</f>
        <v>15282.965875339443</v>
      </c>
      <c r="S90" s="74">
        <f>SUM(S70:S89)</f>
        <v>32076</v>
      </c>
    </row>
    <row r="92" spans="1:19" ht="13.9" x14ac:dyDescent="0.4">
      <c r="A92" s="82"/>
      <c r="D92" s="88" t="s">
        <v>1049</v>
      </c>
    </row>
    <row r="93" spans="1:19" x14ac:dyDescent="0.35">
      <c r="A93" s="83" t="s">
        <v>2690</v>
      </c>
      <c r="D93" s="83" t="s">
        <v>2691</v>
      </c>
      <c r="F93" s="84">
        <v>3000</v>
      </c>
      <c r="H93" s="84">
        <v>6000</v>
      </c>
      <c r="J93" s="84">
        <v>0</v>
      </c>
      <c r="K93" s="84"/>
      <c r="M93" s="80">
        <f>+J93/12*3</f>
        <v>0</v>
      </c>
      <c r="O93" s="84">
        <v>0</v>
      </c>
      <c r="Q93" s="87">
        <f>+M93-O93</f>
        <v>0</v>
      </c>
      <c r="S93" s="87">
        <v>6000</v>
      </c>
    </row>
    <row r="94" spans="1:19" ht="13.9" x14ac:dyDescent="0.4">
      <c r="B94" s="82"/>
      <c r="D94" s="88" t="s">
        <v>1042</v>
      </c>
      <c r="F94" s="85">
        <f>+F93</f>
        <v>3000</v>
      </c>
      <c r="H94" s="85">
        <f>+H93</f>
        <v>6000</v>
      </c>
      <c r="J94" s="85">
        <f>+J93</f>
        <v>0</v>
      </c>
      <c r="K94" s="108"/>
      <c r="M94" s="85">
        <f>+M93</f>
        <v>0</v>
      </c>
      <c r="O94" s="85">
        <f>+O93</f>
        <v>0</v>
      </c>
      <c r="Q94" s="74">
        <f>+Q93</f>
        <v>0</v>
      </c>
      <c r="S94" s="74">
        <f>+S93</f>
        <v>6000</v>
      </c>
    </row>
    <row r="96" spans="1:19" ht="13.9" x14ac:dyDescent="0.4">
      <c r="A96" s="82"/>
      <c r="D96" s="88" t="s">
        <v>1050</v>
      </c>
    </row>
    <row r="97" spans="1:19" x14ac:dyDescent="0.35">
      <c r="A97" s="83" t="s">
        <v>2692</v>
      </c>
      <c r="D97" s="83" t="s">
        <v>2661</v>
      </c>
      <c r="F97" s="84">
        <v>0</v>
      </c>
      <c r="H97" s="84">
        <v>0</v>
      </c>
      <c r="J97" s="84">
        <v>0</v>
      </c>
      <c r="K97" s="84"/>
      <c r="M97" s="80">
        <f t="shared" ref="M97:M102" si="6">+J97/12*3</f>
        <v>0</v>
      </c>
      <c r="O97" s="84">
        <v>0</v>
      </c>
      <c r="Q97" s="87">
        <f t="shared" ref="Q97:Q102" si="7">+M97-O97</f>
        <v>0</v>
      </c>
      <c r="S97" s="87">
        <v>0</v>
      </c>
    </row>
    <row r="98" spans="1:19" x14ac:dyDescent="0.35">
      <c r="A98" s="83" t="s">
        <v>2693</v>
      </c>
      <c r="D98" s="83" t="s">
        <v>2694</v>
      </c>
      <c r="F98" s="84">
        <v>0</v>
      </c>
      <c r="H98" s="84">
        <v>0</v>
      </c>
      <c r="J98" s="84">
        <v>0</v>
      </c>
      <c r="K98" s="84"/>
      <c r="M98" s="80">
        <f t="shared" si="6"/>
        <v>0</v>
      </c>
      <c r="O98" s="87">
        <v>-16667</v>
      </c>
      <c r="Q98" s="87">
        <f t="shared" si="7"/>
        <v>16667</v>
      </c>
      <c r="S98" s="87">
        <v>0</v>
      </c>
    </row>
    <row r="99" spans="1:19" x14ac:dyDescent="0.35">
      <c r="A99" s="83" t="s">
        <v>2695</v>
      </c>
      <c r="D99" s="83" t="s">
        <v>2623</v>
      </c>
      <c r="F99" s="84">
        <v>0</v>
      </c>
      <c r="H99" s="84">
        <v>589</v>
      </c>
      <c r="J99" s="84">
        <v>0</v>
      </c>
      <c r="K99" s="84"/>
      <c r="M99" s="80">
        <f t="shared" si="6"/>
        <v>0</v>
      </c>
      <c r="O99" s="84">
        <v>218</v>
      </c>
      <c r="Q99" s="87">
        <f t="shared" si="7"/>
        <v>-218</v>
      </c>
      <c r="S99" s="87">
        <v>589</v>
      </c>
    </row>
    <row r="100" spans="1:19" x14ac:dyDescent="0.35">
      <c r="A100" s="83" t="s">
        <v>2696</v>
      </c>
      <c r="D100" s="83" t="s">
        <v>2697</v>
      </c>
      <c r="F100" s="84">
        <v>0</v>
      </c>
      <c r="H100" s="84">
        <v>0</v>
      </c>
      <c r="J100" s="84">
        <v>0</v>
      </c>
      <c r="K100" s="84"/>
      <c r="M100" s="80">
        <f t="shared" si="6"/>
        <v>0</v>
      </c>
      <c r="O100" s="84">
        <v>0</v>
      </c>
      <c r="Q100" s="87">
        <f t="shared" si="7"/>
        <v>0</v>
      </c>
      <c r="S100" s="87">
        <v>0</v>
      </c>
    </row>
    <row r="101" spans="1:19" x14ac:dyDescent="0.35">
      <c r="A101" s="83" t="s">
        <v>2698</v>
      </c>
      <c r="D101" s="83" t="s">
        <v>2699</v>
      </c>
      <c r="F101" s="84">
        <v>136000</v>
      </c>
      <c r="H101" s="84">
        <v>39500</v>
      </c>
      <c r="J101" s="84">
        <v>136000</v>
      </c>
      <c r="K101" s="84"/>
      <c r="M101" s="80">
        <f t="shared" si="6"/>
        <v>34000</v>
      </c>
      <c r="O101" s="84">
        <v>20350</v>
      </c>
      <c r="Q101" s="87">
        <f t="shared" si="7"/>
        <v>13650</v>
      </c>
      <c r="S101" s="87">
        <v>0</v>
      </c>
    </row>
    <row r="102" spans="1:19" x14ac:dyDescent="0.35">
      <c r="A102" s="83"/>
      <c r="D102" s="83" t="s">
        <v>2700</v>
      </c>
      <c r="F102" s="84">
        <v>4000</v>
      </c>
      <c r="H102" s="84">
        <v>20</v>
      </c>
      <c r="J102" s="84">
        <v>4000</v>
      </c>
      <c r="K102" s="84"/>
      <c r="M102" s="80">
        <f t="shared" si="6"/>
        <v>1000</v>
      </c>
      <c r="O102" s="84">
        <v>0</v>
      </c>
      <c r="Q102" s="87">
        <f t="shared" si="7"/>
        <v>1000</v>
      </c>
      <c r="S102" s="87">
        <v>20</v>
      </c>
    </row>
    <row r="103" spans="1:19" ht="13.9" x14ac:dyDescent="0.4">
      <c r="B103" s="82"/>
      <c r="D103" s="88" t="s">
        <v>1042</v>
      </c>
      <c r="F103" s="85">
        <f>SUM(F97:F102)</f>
        <v>140000</v>
      </c>
      <c r="H103" s="85">
        <f>SUM(H97:H102)</f>
        <v>40109</v>
      </c>
      <c r="J103" s="85">
        <f>SUM(J97:J102)</f>
        <v>140000</v>
      </c>
      <c r="K103" s="108"/>
      <c r="M103" s="85">
        <f>SUM(M97:M102)</f>
        <v>35000</v>
      </c>
      <c r="O103" s="85">
        <f>SUM(O97:O102)</f>
        <v>3901</v>
      </c>
      <c r="Q103" s="74">
        <f>SUM(Q97:Q102)</f>
        <v>31099</v>
      </c>
      <c r="S103" s="74">
        <f>SUM(S97:S102)</f>
        <v>609</v>
      </c>
    </row>
    <row r="105" spans="1:19" ht="13.9" x14ac:dyDescent="0.4">
      <c r="A105" s="82"/>
      <c r="D105" s="88" t="s">
        <v>1051</v>
      </c>
    </row>
    <row r="106" spans="1:19" x14ac:dyDescent="0.35">
      <c r="A106" s="83" t="s">
        <v>2701</v>
      </c>
      <c r="D106" s="83" t="s">
        <v>2702</v>
      </c>
      <c r="F106" s="84">
        <v>7500</v>
      </c>
      <c r="H106" s="84">
        <v>7500</v>
      </c>
      <c r="J106" s="84">
        <v>0</v>
      </c>
      <c r="K106" s="84"/>
      <c r="M106" s="80">
        <f>+J106/12*3</f>
        <v>0</v>
      </c>
      <c r="O106" s="84">
        <v>2775</v>
      </c>
      <c r="Q106" s="87">
        <f>+M106-O106</f>
        <v>-2775</v>
      </c>
      <c r="S106" s="87">
        <v>1875</v>
      </c>
    </row>
    <row r="107" spans="1:19" ht="13.9" x14ac:dyDescent="0.4">
      <c r="B107" s="82"/>
      <c r="D107" s="88" t="s">
        <v>1042</v>
      </c>
      <c r="F107" s="110">
        <f>+F106</f>
        <v>7500</v>
      </c>
      <c r="H107" s="110">
        <f>+H106</f>
        <v>7500</v>
      </c>
      <c r="J107" s="110">
        <f>+J106</f>
        <v>0</v>
      </c>
      <c r="K107" s="108"/>
      <c r="M107" s="110">
        <f>+M106</f>
        <v>0</v>
      </c>
      <c r="O107" s="110">
        <f>+O106</f>
        <v>2775</v>
      </c>
      <c r="Q107" s="111">
        <f>+Q106</f>
        <v>-2775</v>
      </c>
      <c r="S107" s="111">
        <f>+S106</f>
        <v>1875</v>
      </c>
    </row>
    <row r="108" spans="1:19" ht="13.9" x14ac:dyDescent="0.4">
      <c r="B108" s="82"/>
      <c r="D108" s="88"/>
      <c r="F108" s="108"/>
      <c r="H108" s="108"/>
      <c r="J108" s="108"/>
      <c r="K108" s="108"/>
      <c r="M108" s="108"/>
      <c r="O108" s="108"/>
      <c r="Q108" s="109"/>
      <c r="S108" s="109"/>
    </row>
    <row r="109" spans="1:19" ht="13.9" x14ac:dyDescent="0.4">
      <c r="B109" s="82"/>
      <c r="D109" s="88" t="s">
        <v>1052</v>
      </c>
      <c r="F109" s="108"/>
      <c r="H109" s="108"/>
      <c r="J109" s="108"/>
      <c r="K109" s="108"/>
      <c r="M109" s="108"/>
      <c r="O109" s="108"/>
      <c r="Q109" s="109"/>
      <c r="S109" s="109"/>
    </row>
    <row r="110" spans="1:19" ht="13.9" x14ac:dyDescent="0.4">
      <c r="A110" s="88"/>
      <c r="B110" s="82"/>
      <c r="D110" s="83" t="s">
        <v>1053</v>
      </c>
      <c r="F110" s="112">
        <v>5000</v>
      </c>
      <c r="H110" s="112">
        <v>287</v>
      </c>
      <c r="J110" s="112">
        <v>5000</v>
      </c>
      <c r="K110" s="136"/>
      <c r="M110" s="80">
        <f>+J110/12*3</f>
        <v>1250</v>
      </c>
      <c r="O110" s="112">
        <v>0</v>
      </c>
      <c r="Q110" s="87">
        <f>+M110-O110</f>
        <v>1250</v>
      </c>
      <c r="S110" s="113">
        <v>0</v>
      </c>
    </row>
    <row r="111" spans="1:19" ht="13.9" x14ac:dyDescent="0.4">
      <c r="B111" s="82"/>
      <c r="D111" s="88" t="s">
        <v>1042</v>
      </c>
      <c r="F111" s="85">
        <f>+F110</f>
        <v>5000</v>
      </c>
      <c r="H111" s="85">
        <f>+H110</f>
        <v>287</v>
      </c>
      <c r="J111" s="85">
        <f>+J110</f>
        <v>5000</v>
      </c>
      <c r="K111" s="108"/>
      <c r="M111" s="85">
        <f>+M110</f>
        <v>1250</v>
      </c>
      <c r="O111" s="85">
        <f>+O110</f>
        <v>0</v>
      </c>
      <c r="Q111" s="74">
        <f>+Q110</f>
        <v>1250</v>
      </c>
      <c r="S111" s="74">
        <f>+S110</f>
        <v>0</v>
      </c>
    </row>
    <row r="113" spans="1:19" ht="13.9" x14ac:dyDescent="0.35">
      <c r="D113" s="82" t="s">
        <v>1054</v>
      </c>
      <c r="F113" s="86">
        <f>+F67+F90+F94+F103+F107+F111</f>
        <v>334703</v>
      </c>
      <c r="H113" s="86">
        <f>+H67+H90+H94+H103+H107+H111</f>
        <v>233100</v>
      </c>
      <c r="J113" s="86">
        <f>+J67+J90+J94+J103+J107+J111</f>
        <v>329015.86350135779</v>
      </c>
      <c r="K113" s="108"/>
      <c r="M113" s="86">
        <f>+M67+M90+M94+M103+M107+M111</f>
        <v>82253.965875339447</v>
      </c>
      <c r="O113" s="86">
        <f>+O67+O90+O94+O103+O107+O111</f>
        <v>37397</v>
      </c>
      <c r="Q113" s="86">
        <f>+Q67+Q90+Q94+Q103+Q107+Q111</f>
        <v>44856.965875339447</v>
      </c>
      <c r="S113" s="86">
        <f>+S67+S90+S94+S103+S107+S111</f>
        <v>40770</v>
      </c>
    </row>
    <row r="115" spans="1:19" ht="13.9" x14ac:dyDescent="0.35">
      <c r="D115" s="116" t="s">
        <v>1055</v>
      </c>
    </row>
    <row r="116" spans="1:19" ht="13.9" x14ac:dyDescent="0.35">
      <c r="D116" s="82" t="s">
        <v>1055</v>
      </c>
    </row>
    <row r="117" spans="1:19" x14ac:dyDescent="0.35">
      <c r="A117" s="83" t="s">
        <v>2703</v>
      </c>
      <c r="D117" s="83" t="s">
        <v>2617</v>
      </c>
      <c r="F117" s="84">
        <v>0</v>
      </c>
      <c r="H117" s="84">
        <v>0</v>
      </c>
      <c r="J117" s="84">
        <v>0</v>
      </c>
      <c r="K117" s="84"/>
      <c r="M117" s="80">
        <f t="shared" ref="M117:M122" si="8">+J117/12*3</f>
        <v>0</v>
      </c>
      <c r="O117" s="84">
        <v>0</v>
      </c>
      <c r="Q117" s="87">
        <f t="shared" ref="Q117:Q122" si="9">+M117-O117</f>
        <v>0</v>
      </c>
      <c r="S117" s="87">
        <v>0</v>
      </c>
    </row>
    <row r="118" spans="1:19" x14ac:dyDescent="0.35">
      <c r="A118" s="83" t="s">
        <v>2704</v>
      </c>
      <c r="D118" s="83" t="s">
        <v>2619</v>
      </c>
      <c r="F118" s="84">
        <v>0</v>
      </c>
      <c r="H118" s="84">
        <v>0</v>
      </c>
      <c r="J118" s="84">
        <v>0</v>
      </c>
      <c r="K118" s="84"/>
      <c r="M118" s="80">
        <f t="shared" si="8"/>
        <v>0</v>
      </c>
      <c r="O118" s="84">
        <v>0</v>
      </c>
      <c r="Q118" s="87">
        <f t="shared" si="9"/>
        <v>0</v>
      </c>
      <c r="S118" s="87">
        <v>0</v>
      </c>
    </row>
    <row r="119" spans="1:19" x14ac:dyDescent="0.35">
      <c r="A119" s="83" t="s">
        <v>2705</v>
      </c>
      <c r="D119" s="83" t="s">
        <v>2706</v>
      </c>
      <c r="F119" s="84">
        <v>0</v>
      </c>
      <c r="H119" s="84">
        <v>0</v>
      </c>
      <c r="J119" s="84">
        <v>0</v>
      </c>
      <c r="K119" s="84"/>
      <c r="M119" s="80">
        <f t="shared" si="8"/>
        <v>0</v>
      </c>
      <c r="O119" s="84">
        <v>0</v>
      </c>
      <c r="Q119" s="87">
        <f t="shared" si="9"/>
        <v>0</v>
      </c>
      <c r="S119" s="87">
        <v>0</v>
      </c>
    </row>
    <row r="120" spans="1:19" x14ac:dyDescent="0.35">
      <c r="A120" s="83" t="s">
        <v>2707</v>
      </c>
      <c r="D120" s="83" t="s">
        <v>2653</v>
      </c>
      <c r="F120" s="84">
        <v>0</v>
      </c>
      <c r="H120" s="84">
        <v>0</v>
      </c>
      <c r="J120" s="84">
        <v>0</v>
      </c>
      <c r="K120" s="84"/>
      <c r="M120" s="80">
        <f t="shared" si="8"/>
        <v>0</v>
      </c>
      <c r="O120" s="84">
        <v>0</v>
      </c>
      <c r="Q120" s="87">
        <f t="shared" si="9"/>
        <v>0</v>
      </c>
      <c r="S120" s="87">
        <v>0</v>
      </c>
    </row>
    <row r="121" spans="1:19" x14ac:dyDescent="0.35">
      <c r="A121" s="83" t="s">
        <v>2708</v>
      </c>
      <c r="D121" s="83" t="s">
        <v>2633</v>
      </c>
      <c r="F121" s="84">
        <v>500</v>
      </c>
      <c r="H121" s="84">
        <v>250</v>
      </c>
      <c r="J121" s="84">
        <v>500</v>
      </c>
      <c r="K121" s="84"/>
      <c r="M121" s="80">
        <f t="shared" si="8"/>
        <v>125</v>
      </c>
      <c r="O121" s="84">
        <v>0</v>
      </c>
      <c r="Q121" s="87">
        <f t="shared" si="9"/>
        <v>125</v>
      </c>
      <c r="S121" s="87">
        <v>0</v>
      </c>
    </row>
    <row r="122" spans="1:19" x14ac:dyDescent="0.35">
      <c r="A122" s="83" t="s">
        <v>2709</v>
      </c>
      <c r="D122" s="83" t="s">
        <v>2658</v>
      </c>
      <c r="F122" s="84">
        <v>0</v>
      </c>
      <c r="H122" s="84">
        <v>0</v>
      </c>
      <c r="J122" s="84">
        <v>0</v>
      </c>
      <c r="K122" s="84"/>
      <c r="M122" s="80">
        <f t="shared" si="8"/>
        <v>0</v>
      </c>
      <c r="O122" s="84">
        <v>0</v>
      </c>
      <c r="Q122" s="87">
        <f t="shared" si="9"/>
        <v>0</v>
      </c>
      <c r="S122" s="87">
        <v>0</v>
      </c>
    </row>
    <row r="123" spans="1:19" ht="13.9" x14ac:dyDescent="0.4">
      <c r="B123" s="83"/>
      <c r="D123" s="88" t="s">
        <v>1042</v>
      </c>
      <c r="F123" s="85">
        <f>SUM(F117:F122)</f>
        <v>500</v>
      </c>
      <c r="H123" s="85">
        <f>SUM(H117:H122)</f>
        <v>250</v>
      </c>
      <c r="J123" s="85">
        <f>SUM(J117:J122)</f>
        <v>500</v>
      </c>
      <c r="K123" s="108"/>
      <c r="M123" s="85">
        <f>SUM(M117:M122)</f>
        <v>125</v>
      </c>
      <c r="O123" s="85">
        <f>SUM(O117:O122)</f>
        <v>0</v>
      </c>
      <c r="Q123" s="74">
        <f>SUM(Q117:Q122)</f>
        <v>125</v>
      </c>
      <c r="S123" s="74">
        <f>SUM(S117:S122)</f>
        <v>0</v>
      </c>
    </row>
    <row r="125" spans="1:19" ht="13.9" x14ac:dyDescent="0.35">
      <c r="D125" s="82" t="s">
        <v>1056</v>
      </c>
    </row>
    <row r="126" spans="1:19" x14ac:dyDescent="0.35">
      <c r="A126" s="83" t="s">
        <v>2711</v>
      </c>
      <c r="D126" s="83" t="s">
        <v>2712</v>
      </c>
      <c r="F126" s="84">
        <v>307639</v>
      </c>
      <c r="H126" s="84">
        <v>307639</v>
      </c>
      <c r="J126" s="84">
        <f>214500+98038</f>
        <v>312538</v>
      </c>
      <c r="K126" s="84"/>
      <c r="M126" s="80">
        <f>+J126/12*3</f>
        <v>78134.5</v>
      </c>
      <c r="O126" s="84">
        <v>77174</v>
      </c>
      <c r="Q126" s="87">
        <f>+M126-O126</f>
        <v>960.5</v>
      </c>
      <c r="S126" s="87">
        <v>77180</v>
      </c>
    </row>
    <row r="127" spans="1:19" hidden="1" x14ac:dyDescent="0.35">
      <c r="A127" s="83" t="s">
        <v>2713</v>
      </c>
      <c r="D127" s="83" t="s">
        <v>2714</v>
      </c>
      <c r="F127" s="84">
        <v>0</v>
      </c>
      <c r="H127" s="84">
        <v>0</v>
      </c>
      <c r="J127" s="84">
        <v>0</v>
      </c>
      <c r="K127" s="84"/>
      <c r="M127" s="84">
        <v>0</v>
      </c>
      <c r="O127" s="84">
        <v>0</v>
      </c>
      <c r="Q127" s="87">
        <v>0</v>
      </c>
      <c r="S127" s="87">
        <v>0</v>
      </c>
    </row>
    <row r="128" spans="1:19" hidden="1" x14ac:dyDescent="0.35">
      <c r="A128" s="83" t="s">
        <v>2715</v>
      </c>
      <c r="D128" s="83" t="s">
        <v>2716</v>
      </c>
      <c r="F128" s="84">
        <v>0</v>
      </c>
      <c r="H128" s="84">
        <v>0</v>
      </c>
      <c r="J128" s="84">
        <v>0</v>
      </c>
      <c r="K128" s="84"/>
      <c r="M128" s="84">
        <v>0</v>
      </c>
      <c r="O128" s="84">
        <v>0</v>
      </c>
      <c r="Q128" s="87">
        <v>0</v>
      </c>
      <c r="S128" s="87">
        <v>0</v>
      </c>
    </row>
    <row r="129" spans="1:19" hidden="1" x14ac:dyDescent="0.35">
      <c r="A129" s="83" t="s">
        <v>2717</v>
      </c>
      <c r="D129" s="83" t="s">
        <v>2718</v>
      </c>
      <c r="F129" s="84">
        <v>0</v>
      </c>
      <c r="H129" s="84">
        <v>0</v>
      </c>
      <c r="J129" s="84">
        <v>0</v>
      </c>
      <c r="K129" s="84"/>
      <c r="M129" s="84">
        <v>0</v>
      </c>
      <c r="O129" s="84">
        <v>0</v>
      </c>
      <c r="Q129" s="87">
        <v>0</v>
      </c>
      <c r="S129" s="87">
        <v>0</v>
      </c>
    </row>
    <row r="130" spans="1:19" hidden="1" x14ac:dyDescent="0.35">
      <c r="A130" s="83" t="s">
        <v>2719</v>
      </c>
      <c r="D130" s="83" t="s">
        <v>2720</v>
      </c>
      <c r="F130" s="84">
        <v>0</v>
      </c>
      <c r="H130" s="84">
        <v>0</v>
      </c>
      <c r="J130" s="84">
        <v>0</v>
      </c>
      <c r="K130" s="84"/>
      <c r="M130" s="84">
        <v>0</v>
      </c>
      <c r="O130" s="84">
        <v>0</v>
      </c>
      <c r="Q130" s="87">
        <v>0</v>
      </c>
      <c r="S130" s="87">
        <v>0</v>
      </c>
    </row>
    <row r="131" spans="1:19" ht="13.9" x14ac:dyDescent="0.4">
      <c r="B131" s="83"/>
      <c r="D131" s="88" t="s">
        <v>1042</v>
      </c>
      <c r="F131" s="85">
        <f>SUM(F126:F130)</f>
        <v>307639</v>
      </c>
      <c r="H131" s="85">
        <f>SUM(H126:H130)</f>
        <v>307639</v>
      </c>
      <c r="J131" s="85">
        <f>SUM(J126:J130)</f>
        <v>312538</v>
      </c>
      <c r="K131" s="108"/>
      <c r="M131" s="85">
        <f>SUM(M126:M130)</f>
        <v>78134.5</v>
      </c>
      <c r="O131" s="85">
        <f>SUM(O126:O130)</f>
        <v>77174</v>
      </c>
      <c r="Q131" s="74">
        <f>SUM(Q126:Q130)</f>
        <v>960.5</v>
      </c>
      <c r="S131" s="74">
        <f>SUM(S126:S130)</f>
        <v>77180</v>
      </c>
    </row>
    <row r="133" spans="1:19" ht="13.9" x14ac:dyDescent="0.35">
      <c r="D133" s="82" t="s">
        <v>1057</v>
      </c>
    </row>
    <row r="134" spans="1:19" hidden="1" x14ac:dyDescent="0.35">
      <c r="A134" s="83" t="s">
        <v>2721</v>
      </c>
      <c r="D134" s="83" t="s">
        <v>2722</v>
      </c>
      <c r="F134" s="84">
        <v>0</v>
      </c>
      <c r="H134" s="84">
        <v>0</v>
      </c>
      <c r="J134" s="84">
        <v>0</v>
      </c>
      <c r="K134" s="84"/>
      <c r="M134" s="84">
        <v>0</v>
      </c>
      <c r="O134" s="84">
        <v>0</v>
      </c>
      <c r="Q134" s="87">
        <v>0</v>
      </c>
      <c r="S134" s="87">
        <v>0</v>
      </c>
    </row>
    <row r="135" spans="1:19" hidden="1" x14ac:dyDescent="0.35">
      <c r="A135" s="83" t="s">
        <v>2723</v>
      </c>
      <c r="D135" s="83" t="s">
        <v>2724</v>
      </c>
      <c r="F135" s="84">
        <v>0</v>
      </c>
      <c r="H135" s="84">
        <v>0</v>
      </c>
      <c r="J135" s="84">
        <v>0</v>
      </c>
      <c r="K135" s="84"/>
      <c r="M135" s="84">
        <v>0</v>
      </c>
      <c r="O135" s="84">
        <v>0</v>
      </c>
      <c r="Q135" s="87">
        <v>0</v>
      </c>
      <c r="S135" s="87">
        <v>0</v>
      </c>
    </row>
    <row r="136" spans="1:19" hidden="1" x14ac:dyDescent="0.35">
      <c r="A136" s="83" t="s">
        <v>2725</v>
      </c>
      <c r="D136" s="83" t="s">
        <v>2726</v>
      </c>
      <c r="F136" s="84">
        <v>0</v>
      </c>
      <c r="H136" s="84">
        <v>0</v>
      </c>
      <c r="J136" s="84">
        <v>0</v>
      </c>
      <c r="K136" s="84"/>
      <c r="M136" s="84">
        <v>0</v>
      </c>
      <c r="O136" s="84">
        <v>0</v>
      </c>
      <c r="Q136" s="87">
        <v>0</v>
      </c>
      <c r="S136" s="87">
        <v>0</v>
      </c>
    </row>
    <row r="137" spans="1:19" hidden="1" x14ac:dyDescent="0.35">
      <c r="A137" s="83" t="s">
        <v>2727</v>
      </c>
      <c r="D137" s="83" t="s">
        <v>2728</v>
      </c>
      <c r="F137" s="84">
        <v>0</v>
      </c>
      <c r="H137" s="84">
        <v>0</v>
      </c>
      <c r="J137" s="84">
        <v>0</v>
      </c>
      <c r="K137" s="84"/>
      <c r="M137" s="84">
        <v>0</v>
      </c>
      <c r="O137" s="84">
        <v>0</v>
      </c>
      <c r="Q137" s="87">
        <v>0</v>
      </c>
      <c r="S137" s="87">
        <v>0</v>
      </c>
    </row>
    <row r="138" spans="1:19" hidden="1" x14ac:dyDescent="0.35">
      <c r="A138" s="83" t="s">
        <v>2729</v>
      </c>
      <c r="D138" s="83" t="s">
        <v>2730</v>
      </c>
      <c r="F138" s="84">
        <v>0</v>
      </c>
      <c r="H138" s="84">
        <v>0</v>
      </c>
      <c r="J138" s="84">
        <v>0</v>
      </c>
      <c r="K138" s="84"/>
      <c r="M138" s="84">
        <v>0</v>
      </c>
      <c r="O138" s="84">
        <v>0</v>
      </c>
      <c r="Q138" s="87">
        <v>0</v>
      </c>
      <c r="S138" s="87">
        <v>0</v>
      </c>
    </row>
    <row r="139" spans="1:19" hidden="1" x14ac:dyDescent="0.35">
      <c r="A139" s="83" t="s">
        <v>2731</v>
      </c>
      <c r="D139" s="83" t="s">
        <v>2732</v>
      </c>
      <c r="F139" s="84">
        <v>0</v>
      </c>
      <c r="H139" s="84">
        <v>0</v>
      </c>
      <c r="J139" s="84">
        <v>0</v>
      </c>
      <c r="K139" s="84"/>
      <c r="M139" s="84">
        <v>0</v>
      </c>
      <c r="O139" s="84">
        <v>0</v>
      </c>
      <c r="Q139" s="87">
        <v>0</v>
      </c>
      <c r="S139" s="87">
        <v>0</v>
      </c>
    </row>
    <row r="140" spans="1:19" x14ac:dyDescent="0.35">
      <c r="A140" s="83" t="s">
        <v>2733</v>
      </c>
      <c r="D140" s="83" t="s">
        <v>2633</v>
      </c>
      <c r="F140" s="84">
        <v>2500</v>
      </c>
      <c r="H140" s="84">
        <v>250</v>
      </c>
      <c r="J140" s="84">
        <v>2500</v>
      </c>
      <c r="K140" s="84"/>
      <c r="M140" s="80">
        <f>+J140/12*3</f>
        <v>625</v>
      </c>
      <c r="O140" s="84">
        <v>0</v>
      </c>
      <c r="Q140" s="87">
        <f>+M140-O140</f>
        <v>625</v>
      </c>
      <c r="S140" s="87">
        <v>0</v>
      </c>
    </row>
    <row r="141" spans="1:19" hidden="1" x14ac:dyDescent="0.35">
      <c r="A141" s="83" t="s">
        <v>2734</v>
      </c>
      <c r="D141" s="83" t="s">
        <v>2735</v>
      </c>
      <c r="F141" s="84">
        <v>0</v>
      </c>
      <c r="H141" s="84">
        <v>0</v>
      </c>
      <c r="J141" s="84">
        <v>0</v>
      </c>
      <c r="K141" s="84"/>
      <c r="M141" s="80">
        <f>+J141/12*2</f>
        <v>0</v>
      </c>
      <c r="O141" s="84">
        <v>0</v>
      </c>
      <c r="Q141" s="87">
        <f>+M141-O141</f>
        <v>0</v>
      </c>
      <c r="S141" s="87">
        <v>0</v>
      </c>
    </row>
    <row r="142" spans="1:19" x14ac:dyDescent="0.35">
      <c r="A142" s="83" t="s">
        <v>2736</v>
      </c>
      <c r="D142" s="83" t="s">
        <v>1058</v>
      </c>
      <c r="F142" s="84">
        <v>2500</v>
      </c>
      <c r="H142" s="84">
        <v>196</v>
      </c>
      <c r="J142" s="84">
        <v>2500</v>
      </c>
      <c r="K142" s="84"/>
      <c r="M142" s="80">
        <f>+J142/12*3</f>
        <v>625</v>
      </c>
      <c r="O142" s="84">
        <v>0</v>
      </c>
      <c r="Q142" s="87">
        <f>+M142-O142</f>
        <v>625</v>
      </c>
      <c r="S142" s="87">
        <v>196</v>
      </c>
    </row>
    <row r="143" spans="1:19" x14ac:dyDescent="0.35">
      <c r="A143" s="83" t="s">
        <v>2737</v>
      </c>
      <c r="D143" s="83" t="s">
        <v>1047</v>
      </c>
      <c r="F143" s="84">
        <v>0</v>
      </c>
      <c r="H143" s="84">
        <v>0</v>
      </c>
      <c r="J143" s="84">
        <v>0</v>
      </c>
      <c r="K143" s="84"/>
      <c r="M143" s="80">
        <f>+J143/12*3</f>
        <v>0</v>
      </c>
      <c r="O143" s="84">
        <v>0</v>
      </c>
      <c r="Q143" s="87">
        <f>+M143-O143</f>
        <v>0</v>
      </c>
      <c r="S143" s="87">
        <v>0</v>
      </c>
    </row>
    <row r="144" spans="1:19" ht="13.9" x14ac:dyDescent="0.4">
      <c r="B144" s="83"/>
      <c r="D144" s="88" t="s">
        <v>1042</v>
      </c>
      <c r="F144" s="85">
        <f>SUM(F134:F143)</f>
        <v>5000</v>
      </c>
      <c r="H144" s="85">
        <f>SUM(H134:H143)</f>
        <v>446</v>
      </c>
      <c r="J144" s="85">
        <f>SUM(J134:J143)</f>
        <v>5000</v>
      </c>
      <c r="K144" s="108"/>
      <c r="M144" s="85">
        <f>SUM(M134:M143)</f>
        <v>1250</v>
      </c>
      <c r="O144" s="85">
        <f>SUM(O134:O143)</f>
        <v>0</v>
      </c>
      <c r="Q144" s="74">
        <f>SUM(Q134:Q143)</f>
        <v>1250</v>
      </c>
      <c r="S144" s="74">
        <f>SUM(S134:S143)</f>
        <v>196</v>
      </c>
    </row>
    <row r="146" spans="1:19" ht="13.9" hidden="1" x14ac:dyDescent="0.35">
      <c r="A146" s="82" t="s">
        <v>2738</v>
      </c>
    </row>
    <row r="147" spans="1:19" hidden="1" x14ac:dyDescent="0.35">
      <c r="A147" s="83" t="s">
        <v>2739</v>
      </c>
      <c r="D147" s="83" t="s">
        <v>2740</v>
      </c>
      <c r="F147" s="84">
        <v>0</v>
      </c>
      <c r="H147" s="84">
        <v>0</v>
      </c>
      <c r="J147" s="84">
        <v>0</v>
      </c>
      <c r="K147" s="84"/>
      <c r="M147" s="84">
        <v>0</v>
      </c>
      <c r="O147" s="84">
        <v>0</v>
      </c>
      <c r="Q147" s="87">
        <v>0</v>
      </c>
      <c r="S147" s="87">
        <v>0</v>
      </c>
    </row>
    <row r="148" spans="1:19" hidden="1" x14ac:dyDescent="0.35">
      <c r="A148" s="83" t="s">
        <v>2741</v>
      </c>
      <c r="D148" s="83" t="s">
        <v>2742</v>
      </c>
      <c r="F148" s="84">
        <v>0</v>
      </c>
      <c r="H148" s="84">
        <v>0</v>
      </c>
      <c r="J148" s="84">
        <v>0</v>
      </c>
      <c r="K148" s="84"/>
      <c r="M148" s="84">
        <v>0</v>
      </c>
      <c r="O148" s="84">
        <v>0</v>
      </c>
      <c r="Q148" s="87">
        <v>0</v>
      </c>
      <c r="S148" s="87">
        <v>0</v>
      </c>
    </row>
    <row r="149" spans="1:19" hidden="1" x14ac:dyDescent="0.35">
      <c r="A149" s="83" t="s">
        <v>2743</v>
      </c>
      <c r="D149" s="83" t="s">
        <v>2744</v>
      </c>
      <c r="F149" s="84">
        <v>0</v>
      </c>
      <c r="H149" s="84">
        <v>0</v>
      </c>
      <c r="J149" s="84">
        <v>0</v>
      </c>
      <c r="K149" s="84"/>
      <c r="M149" s="84">
        <v>0</v>
      </c>
      <c r="O149" s="84">
        <v>0</v>
      </c>
      <c r="Q149" s="87">
        <v>0</v>
      </c>
      <c r="S149" s="87">
        <v>0</v>
      </c>
    </row>
    <row r="150" spans="1:19" hidden="1" x14ac:dyDescent="0.35">
      <c r="A150" s="83" t="s">
        <v>2745</v>
      </c>
      <c r="D150" s="83" t="s">
        <v>2746</v>
      </c>
      <c r="F150" s="84">
        <v>0</v>
      </c>
      <c r="H150" s="84">
        <v>0</v>
      </c>
      <c r="J150" s="84">
        <v>0</v>
      </c>
      <c r="K150" s="84"/>
      <c r="M150" s="84">
        <v>0</v>
      </c>
      <c r="O150" s="84">
        <v>0</v>
      </c>
      <c r="Q150" s="87">
        <v>0</v>
      </c>
      <c r="S150" s="87">
        <v>0</v>
      </c>
    </row>
    <row r="151" spans="1:19" hidden="1" x14ac:dyDescent="0.35">
      <c r="A151" s="83" t="s">
        <v>2747</v>
      </c>
      <c r="D151" s="83" t="s">
        <v>2748</v>
      </c>
      <c r="F151" s="84">
        <v>0</v>
      </c>
      <c r="H151" s="84">
        <v>0</v>
      </c>
      <c r="J151" s="84">
        <v>0</v>
      </c>
      <c r="K151" s="84"/>
      <c r="M151" s="84">
        <v>0</v>
      </c>
      <c r="O151" s="84">
        <v>0</v>
      </c>
      <c r="Q151" s="87">
        <v>0</v>
      </c>
      <c r="S151" s="87">
        <v>0</v>
      </c>
    </row>
    <row r="152" spans="1:19" hidden="1" x14ac:dyDescent="0.35">
      <c r="A152" s="83" t="s">
        <v>2749</v>
      </c>
      <c r="D152" s="83" t="s">
        <v>2750</v>
      </c>
      <c r="F152" s="84">
        <v>0</v>
      </c>
      <c r="H152" s="84">
        <v>0</v>
      </c>
      <c r="J152" s="84">
        <v>0</v>
      </c>
      <c r="K152" s="84"/>
      <c r="M152" s="84">
        <v>0</v>
      </c>
      <c r="O152" s="84">
        <v>0</v>
      </c>
      <c r="Q152" s="87">
        <v>0</v>
      </c>
      <c r="S152" s="87">
        <v>0</v>
      </c>
    </row>
    <row r="153" spans="1:19" ht="13.9" hidden="1" x14ac:dyDescent="0.35">
      <c r="B153" s="83" t="s">
        <v>2710</v>
      </c>
      <c r="F153" s="85">
        <f>SUM(F147:F152)</f>
        <v>0</v>
      </c>
      <c r="H153" s="85">
        <f>SUM(H147:H152)</f>
        <v>0</v>
      </c>
      <c r="J153" s="85">
        <f>SUM(J147:J152)</f>
        <v>0</v>
      </c>
      <c r="K153" s="108"/>
      <c r="M153" s="85">
        <f>SUM(M147:M152)</f>
        <v>0</v>
      </c>
      <c r="O153" s="85">
        <f>SUM(O147:O152)</f>
        <v>0</v>
      </c>
      <c r="Q153" s="74">
        <f>SUM(Q147:Q152)</f>
        <v>0</v>
      </c>
      <c r="S153" s="74">
        <f>SUM(S147:S152)</f>
        <v>0</v>
      </c>
    </row>
    <row r="154" spans="1:19" hidden="1" x14ac:dyDescent="0.35"/>
    <row r="155" spans="1:19" ht="13.9" x14ac:dyDescent="0.35">
      <c r="D155" s="82" t="s">
        <v>1059</v>
      </c>
    </row>
    <row r="156" spans="1:19" x14ac:dyDescent="0.35">
      <c r="D156" s="83" t="s">
        <v>2243</v>
      </c>
      <c r="F156" s="79">
        <v>0</v>
      </c>
      <c r="H156" s="79">
        <v>0</v>
      </c>
      <c r="J156" s="79">
        <v>0</v>
      </c>
      <c r="M156" s="79">
        <v>0</v>
      </c>
      <c r="O156" s="79">
        <v>0</v>
      </c>
      <c r="Q156" s="80">
        <v>0</v>
      </c>
      <c r="S156" s="80">
        <v>-294</v>
      </c>
    </row>
    <row r="157" spans="1:19" x14ac:dyDescent="0.35">
      <c r="A157" s="83" t="s">
        <v>2751</v>
      </c>
      <c r="D157" s="83" t="s">
        <v>1060</v>
      </c>
      <c r="F157" s="84">
        <v>10000</v>
      </c>
      <c r="H157" s="84">
        <v>10000</v>
      </c>
      <c r="J157" s="84">
        <v>10000</v>
      </c>
      <c r="K157" s="84"/>
      <c r="M157" s="80">
        <f>+J157/12*3</f>
        <v>2500</v>
      </c>
      <c r="O157" s="84">
        <v>2500</v>
      </c>
      <c r="Q157" s="87">
        <f t="shared" ref="Q157:Q174" si="10">+M157-O157</f>
        <v>0</v>
      </c>
      <c r="S157" s="87">
        <v>2500</v>
      </c>
    </row>
    <row r="158" spans="1:19" x14ac:dyDescent="0.35">
      <c r="A158" s="83" t="s">
        <v>2752</v>
      </c>
      <c r="D158" s="83" t="s">
        <v>2666</v>
      </c>
      <c r="F158" s="84">
        <v>0</v>
      </c>
      <c r="H158" s="84">
        <v>0</v>
      </c>
      <c r="J158" s="84">
        <v>0</v>
      </c>
      <c r="K158" s="84"/>
      <c r="M158" s="80">
        <f>+J158/12*2</f>
        <v>0</v>
      </c>
      <c r="O158" s="84">
        <v>32</v>
      </c>
      <c r="Q158" s="87">
        <f t="shared" si="10"/>
        <v>-32</v>
      </c>
      <c r="S158" s="87">
        <v>0</v>
      </c>
    </row>
    <row r="159" spans="1:19" hidden="1" x14ac:dyDescent="0.35">
      <c r="A159" s="83" t="s">
        <v>2753</v>
      </c>
      <c r="D159" s="83" t="s">
        <v>2668</v>
      </c>
      <c r="F159" s="84">
        <v>0</v>
      </c>
      <c r="H159" s="84">
        <v>0</v>
      </c>
      <c r="J159" s="84">
        <v>0</v>
      </c>
      <c r="K159" s="84"/>
      <c r="M159" s="80">
        <f>+J159/12*2</f>
        <v>0</v>
      </c>
      <c r="O159" s="84">
        <v>0</v>
      </c>
      <c r="Q159" s="87">
        <f t="shared" si="10"/>
        <v>0</v>
      </c>
      <c r="S159" s="87">
        <v>0</v>
      </c>
    </row>
    <row r="160" spans="1:19" hidden="1" x14ac:dyDescent="0.35">
      <c r="A160" s="83" t="s">
        <v>2754</v>
      </c>
      <c r="D160" s="83" t="s">
        <v>1124</v>
      </c>
      <c r="F160" s="84">
        <v>0</v>
      </c>
      <c r="H160" s="84">
        <v>0</v>
      </c>
      <c r="J160" s="84">
        <v>0</v>
      </c>
      <c r="K160" s="84"/>
      <c r="M160" s="80">
        <f>+J160/12*2</f>
        <v>0</v>
      </c>
      <c r="O160" s="84">
        <v>0</v>
      </c>
      <c r="Q160" s="87">
        <f t="shared" si="10"/>
        <v>0</v>
      </c>
      <c r="S160" s="87">
        <v>0</v>
      </c>
    </row>
    <row r="161" spans="1:19" hidden="1" x14ac:dyDescent="0.35">
      <c r="A161" s="83" t="s">
        <v>2755</v>
      </c>
      <c r="D161" s="83" t="s">
        <v>1402</v>
      </c>
      <c r="F161" s="84">
        <v>0</v>
      </c>
      <c r="H161" s="84">
        <v>0</v>
      </c>
      <c r="J161" s="84">
        <v>0</v>
      </c>
      <c r="K161" s="84"/>
      <c r="M161" s="80">
        <f>+J161/12*2</f>
        <v>0</v>
      </c>
      <c r="O161" s="84">
        <v>0</v>
      </c>
      <c r="Q161" s="87">
        <f t="shared" si="10"/>
        <v>0</v>
      </c>
      <c r="S161" s="87">
        <v>0</v>
      </c>
    </row>
    <row r="162" spans="1:19" x14ac:dyDescent="0.35">
      <c r="A162" s="83" t="s">
        <v>2756</v>
      </c>
      <c r="D162" s="83" t="s">
        <v>2758</v>
      </c>
      <c r="F162" s="84">
        <v>0</v>
      </c>
      <c r="H162" s="84">
        <v>1848</v>
      </c>
      <c r="J162" s="84">
        <v>0</v>
      </c>
      <c r="K162" s="84"/>
      <c r="M162" s="80">
        <f t="shared" ref="M162:M174" si="11">+J162/12*3</f>
        <v>0</v>
      </c>
      <c r="O162" s="84">
        <v>363</v>
      </c>
      <c r="Q162" s="87">
        <f t="shared" si="10"/>
        <v>-363</v>
      </c>
      <c r="S162" s="87">
        <v>230</v>
      </c>
    </row>
    <row r="163" spans="1:19" hidden="1" x14ac:dyDescent="0.35">
      <c r="A163" s="83" t="s">
        <v>2757</v>
      </c>
      <c r="D163" s="83" t="s">
        <v>2758</v>
      </c>
      <c r="F163" s="84">
        <v>0</v>
      </c>
      <c r="H163" s="84">
        <v>0</v>
      </c>
      <c r="J163" s="84">
        <v>0</v>
      </c>
      <c r="K163" s="84"/>
      <c r="M163" s="80">
        <f t="shared" si="11"/>
        <v>0</v>
      </c>
      <c r="O163" s="84">
        <v>0</v>
      </c>
      <c r="Q163" s="87">
        <f t="shared" si="10"/>
        <v>0</v>
      </c>
      <c r="S163" s="87">
        <v>0</v>
      </c>
    </row>
    <row r="164" spans="1:19" x14ac:dyDescent="0.35">
      <c r="A164" s="83" t="s">
        <v>2759</v>
      </c>
      <c r="D164" s="83" t="s">
        <v>2619</v>
      </c>
      <c r="F164" s="84">
        <v>1000</v>
      </c>
      <c r="H164" s="84"/>
      <c r="J164" s="84">
        <v>1000</v>
      </c>
      <c r="K164" s="84"/>
      <c r="M164" s="80">
        <f t="shared" si="11"/>
        <v>250</v>
      </c>
      <c r="O164" s="84">
        <v>0</v>
      </c>
      <c r="Q164" s="87">
        <f t="shared" si="10"/>
        <v>250</v>
      </c>
      <c r="S164" s="87">
        <v>0</v>
      </c>
    </row>
    <row r="165" spans="1:19" x14ac:dyDescent="0.35">
      <c r="A165" s="83" t="s">
        <v>2760</v>
      </c>
      <c r="D165" s="83" t="s">
        <v>137</v>
      </c>
      <c r="F165" s="84">
        <v>700</v>
      </c>
      <c r="H165" s="84">
        <v>664</v>
      </c>
      <c r="J165" s="84">
        <v>700</v>
      </c>
      <c r="K165" s="84"/>
      <c r="M165" s="80">
        <f t="shared" si="11"/>
        <v>175</v>
      </c>
      <c r="O165" s="84">
        <v>0</v>
      </c>
      <c r="Q165" s="87">
        <f t="shared" si="10"/>
        <v>175</v>
      </c>
      <c r="S165" s="87">
        <v>221</v>
      </c>
    </row>
    <row r="166" spans="1:19" x14ac:dyDescent="0.35">
      <c r="A166" s="83" t="s">
        <v>2761</v>
      </c>
      <c r="D166" s="83" t="s">
        <v>2625</v>
      </c>
      <c r="F166" s="84">
        <v>300</v>
      </c>
      <c r="H166" s="84"/>
      <c r="J166" s="84">
        <v>300</v>
      </c>
      <c r="K166" s="84"/>
      <c r="M166" s="80">
        <f t="shared" si="11"/>
        <v>75</v>
      </c>
      <c r="O166" s="84">
        <v>0</v>
      </c>
      <c r="Q166" s="87">
        <f t="shared" si="10"/>
        <v>75</v>
      </c>
      <c r="S166" s="87">
        <v>0</v>
      </c>
    </row>
    <row r="167" spans="1:19" x14ac:dyDescent="0.35">
      <c r="A167" s="83" t="s">
        <v>2762</v>
      </c>
      <c r="D167" s="83" t="s">
        <v>1061</v>
      </c>
      <c r="F167" s="84">
        <v>0</v>
      </c>
      <c r="H167" s="84"/>
      <c r="J167" s="84">
        <v>0</v>
      </c>
      <c r="K167" s="84"/>
      <c r="M167" s="80">
        <f t="shared" si="11"/>
        <v>0</v>
      </c>
      <c r="O167" s="84">
        <v>0</v>
      </c>
      <c r="Q167" s="87">
        <f t="shared" si="10"/>
        <v>0</v>
      </c>
      <c r="S167" s="87">
        <v>0</v>
      </c>
    </row>
    <row r="168" spans="1:19" x14ac:dyDescent="0.35">
      <c r="A168" s="83" t="s">
        <v>2763</v>
      </c>
      <c r="D168" s="83" t="s">
        <v>2631</v>
      </c>
      <c r="F168" s="84">
        <v>0</v>
      </c>
      <c r="H168" s="84">
        <v>2441</v>
      </c>
      <c r="J168" s="84">
        <v>0</v>
      </c>
      <c r="K168" s="84"/>
      <c r="M168" s="80">
        <f t="shared" si="11"/>
        <v>0</v>
      </c>
      <c r="O168" s="84">
        <v>426</v>
      </c>
      <c r="Q168" s="87">
        <f t="shared" si="10"/>
        <v>-426</v>
      </c>
      <c r="S168" s="87">
        <v>237</v>
      </c>
    </row>
    <row r="169" spans="1:19" x14ac:dyDescent="0.35">
      <c r="A169" s="83" t="s">
        <v>2764</v>
      </c>
      <c r="D169" s="83" t="s">
        <v>2794</v>
      </c>
      <c r="F169" s="84">
        <v>0</v>
      </c>
      <c r="H169" s="84">
        <v>3366</v>
      </c>
      <c r="J169" s="84">
        <v>0</v>
      </c>
      <c r="K169" s="84"/>
      <c r="M169" s="80">
        <f t="shared" si="11"/>
        <v>0</v>
      </c>
      <c r="O169" s="84">
        <v>0</v>
      </c>
      <c r="Q169" s="87">
        <f t="shared" si="10"/>
        <v>0</v>
      </c>
      <c r="S169" s="87">
        <v>1820</v>
      </c>
    </row>
    <row r="170" spans="1:19" x14ac:dyDescent="0.35">
      <c r="A170" s="83" t="s">
        <v>2765</v>
      </c>
      <c r="D170" s="83" t="s">
        <v>1062</v>
      </c>
      <c r="F170" s="84">
        <v>2000</v>
      </c>
      <c r="H170" s="84">
        <f>5276-1704</f>
        <v>3572</v>
      </c>
      <c r="J170" s="84">
        <v>2000</v>
      </c>
      <c r="K170" s="84"/>
      <c r="M170" s="80">
        <f t="shared" si="11"/>
        <v>500</v>
      </c>
      <c r="O170" s="84">
        <v>15</v>
      </c>
      <c r="Q170" s="87">
        <f t="shared" si="10"/>
        <v>485</v>
      </c>
      <c r="S170" s="87">
        <v>49</v>
      </c>
    </row>
    <row r="171" spans="1:19" x14ac:dyDescent="0.35">
      <c r="A171" s="83" t="s">
        <v>2766</v>
      </c>
      <c r="D171" s="83" t="s">
        <v>1063</v>
      </c>
      <c r="F171" s="84">
        <v>2000</v>
      </c>
      <c r="H171" s="84">
        <v>-248</v>
      </c>
      <c r="J171" s="84">
        <v>2000</v>
      </c>
      <c r="K171" s="84"/>
      <c r="M171" s="80">
        <f t="shared" si="11"/>
        <v>500</v>
      </c>
      <c r="O171" s="84">
        <v>0</v>
      </c>
      <c r="Q171" s="87">
        <f t="shared" si="10"/>
        <v>500</v>
      </c>
      <c r="S171" s="87">
        <v>0</v>
      </c>
    </row>
    <row r="172" spans="1:19" x14ac:dyDescent="0.35">
      <c r="A172" s="83" t="s">
        <v>2767</v>
      </c>
      <c r="D172" s="83" t="s">
        <v>1064</v>
      </c>
      <c r="F172" s="84">
        <v>0</v>
      </c>
      <c r="H172" s="84"/>
      <c r="J172" s="84">
        <v>0</v>
      </c>
      <c r="K172" s="84"/>
      <c r="M172" s="80">
        <f t="shared" si="11"/>
        <v>0</v>
      </c>
      <c r="O172" s="84">
        <v>0</v>
      </c>
      <c r="Q172" s="87">
        <f t="shared" si="10"/>
        <v>0</v>
      </c>
      <c r="S172" s="87">
        <v>0</v>
      </c>
    </row>
    <row r="173" spans="1:19" x14ac:dyDescent="0.35">
      <c r="A173" s="83" t="s">
        <v>2768</v>
      </c>
      <c r="D173" s="83" t="s">
        <v>2769</v>
      </c>
      <c r="F173" s="84">
        <v>2000</v>
      </c>
      <c r="H173" s="84">
        <v>249</v>
      </c>
      <c r="J173" s="84">
        <v>2000</v>
      </c>
      <c r="K173" s="84"/>
      <c r="M173" s="80">
        <f t="shared" si="11"/>
        <v>500</v>
      </c>
      <c r="O173" s="84">
        <v>462</v>
      </c>
      <c r="Q173" s="87">
        <f t="shared" si="10"/>
        <v>38</v>
      </c>
      <c r="S173" s="87">
        <v>0</v>
      </c>
    </row>
    <row r="174" spans="1:19" x14ac:dyDescent="0.35">
      <c r="A174" s="83" t="s">
        <v>2770</v>
      </c>
      <c r="D174" s="83" t="s">
        <v>1065</v>
      </c>
      <c r="F174" s="84">
        <v>2000</v>
      </c>
      <c r="H174" s="84"/>
      <c r="J174" s="84">
        <v>2000</v>
      </c>
      <c r="K174" s="84"/>
      <c r="M174" s="80">
        <f t="shared" si="11"/>
        <v>500</v>
      </c>
      <c r="O174" s="84">
        <v>0</v>
      </c>
      <c r="Q174" s="87">
        <f t="shared" si="10"/>
        <v>500</v>
      </c>
      <c r="S174" s="87">
        <v>0</v>
      </c>
    </row>
    <row r="175" spans="1:19" ht="13.9" x14ac:dyDescent="0.4">
      <c r="B175" s="83"/>
      <c r="D175" s="88" t="s">
        <v>1042</v>
      </c>
      <c r="F175" s="85">
        <f>SUM(F156:F174)</f>
        <v>20000</v>
      </c>
      <c r="H175" s="85">
        <f>SUM(H156:H174)</f>
        <v>21892</v>
      </c>
      <c r="J175" s="85">
        <f>SUM(J156:J174)</f>
        <v>20000</v>
      </c>
      <c r="K175" s="108"/>
      <c r="M175" s="85">
        <f>SUM(M156:M174)</f>
        <v>5000</v>
      </c>
      <c r="O175" s="85">
        <f>SUM(O156:O174)</f>
        <v>3798</v>
      </c>
      <c r="Q175" s="85">
        <f>SUM(Q156:Q174)</f>
        <v>1202</v>
      </c>
      <c r="S175" s="85">
        <f>SUM(S156:S174)</f>
        <v>4763</v>
      </c>
    </row>
    <row r="177" spans="1:19" ht="13.9" x14ac:dyDescent="0.35">
      <c r="D177" s="82" t="s">
        <v>1066</v>
      </c>
      <c r="F177" s="86">
        <f>+F175+F153+F144+F131+F123</f>
        <v>333139</v>
      </c>
      <c r="H177" s="86">
        <f>+H175+H153+H144+H131+H123</f>
        <v>330227</v>
      </c>
      <c r="J177" s="86">
        <f>+J175+J153+J144+J131+J123</f>
        <v>338038</v>
      </c>
      <c r="K177" s="108"/>
      <c r="M177" s="86">
        <f>+M175+M153+M144+M131+M123</f>
        <v>84509.5</v>
      </c>
      <c r="O177" s="86">
        <f>+O175+O153+O144+O131+O123</f>
        <v>80972</v>
      </c>
      <c r="Q177" s="75">
        <f>+Q175+Q153+Q144+Q131+Q123</f>
        <v>3537.5</v>
      </c>
      <c r="S177" s="75">
        <f>+S175+S153+S144+S131+S123</f>
        <v>82139</v>
      </c>
    </row>
    <row r="179" spans="1:19" ht="13.9" x14ac:dyDescent="0.35">
      <c r="D179" s="116" t="s">
        <v>1067</v>
      </c>
    </row>
    <row r="180" spans="1:19" ht="13.9" x14ac:dyDescent="0.35">
      <c r="A180" s="82"/>
      <c r="D180" s="82" t="s">
        <v>1067</v>
      </c>
    </row>
    <row r="181" spans="1:19" x14ac:dyDescent="0.35">
      <c r="A181" s="83" t="s">
        <v>2771</v>
      </c>
      <c r="D181" s="83" t="s">
        <v>2617</v>
      </c>
      <c r="F181" s="84">
        <v>0</v>
      </c>
      <c r="H181" s="84">
        <v>0</v>
      </c>
      <c r="J181" s="84">
        <v>0</v>
      </c>
      <c r="K181" s="84"/>
      <c r="M181" s="80">
        <f t="shared" ref="M181:M186" si="12">+J181/12*3</f>
        <v>0</v>
      </c>
      <c r="O181" s="84">
        <v>0</v>
      </c>
      <c r="Q181" s="87">
        <f t="shared" ref="Q181:Q186" si="13">+M181-O181</f>
        <v>0</v>
      </c>
      <c r="S181" s="84">
        <v>0</v>
      </c>
    </row>
    <row r="182" spans="1:19" x14ac:dyDescent="0.35">
      <c r="A182" s="83" t="s">
        <v>2772</v>
      </c>
      <c r="D182" s="83" t="s">
        <v>2619</v>
      </c>
      <c r="F182" s="84">
        <v>0</v>
      </c>
      <c r="H182" s="84">
        <v>322</v>
      </c>
      <c r="J182" s="84">
        <v>0</v>
      </c>
      <c r="K182" s="84"/>
      <c r="M182" s="80">
        <f t="shared" si="12"/>
        <v>0</v>
      </c>
      <c r="O182" s="84">
        <v>0</v>
      </c>
      <c r="Q182" s="87">
        <f t="shared" si="13"/>
        <v>0</v>
      </c>
      <c r="S182" s="84">
        <v>0</v>
      </c>
    </row>
    <row r="183" spans="1:19" x14ac:dyDescent="0.35">
      <c r="A183" s="83" t="s">
        <v>2773</v>
      </c>
      <c r="D183" s="83" t="s">
        <v>2706</v>
      </c>
      <c r="F183" s="84">
        <v>0</v>
      </c>
      <c r="H183" s="84">
        <v>0</v>
      </c>
      <c r="J183" s="84">
        <v>0</v>
      </c>
      <c r="K183" s="84"/>
      <c r="M183" s="80">
        <f t="shared" si="12"/>
        <v>0</v>
      </c>
      <c r="O183" s="84">
        <v>0</v>
      </c>
      <c r="Q183" s="87">
        <f t="shared" si="13"/>
        <v>0</v>
      </c>
      <c r="S183" s="84">
        <v>0</v>
      </c>
    </row>
    <row r="184" spans="1:19" x14ac:dyDescent="0.35">
      <c r="A184" s="83" t="s">
        <v>2774</v>
      </c>
      <c r="D184" s="83" t="s">
        <v>2653</v>
      </c>
      <c r="F184" s="84">
        <v>0</v>
      </c>
      <c r="H184" s="84">
        <v>0</v>
      </c>
      <c r="J184" s="84">
        <v>0</v>
      </c>
      <c r="K184" s="84"/>
      <c r="M184" s="80">
        <f t="shared" si="12"/>
        <v>0</v>
      </c>
      <c r="O184" s="84">
        <v>0</v>
      </c>
      <c r="Q184" s="87">
        <f t="shared" si="13"/>
        <v>0</v>
      </c>
      <c r="S184" s="84">
        <v>0</v>
      </c>
    </row>
    <row r="185" spans="1:19" x14ac:dyDescent="0.35">
      <c r="A185" s="83" t="s">
        <v>2775</v>
      </c>
      <c r="D185" s="83" t="s">
        <v>2633</v>
      </c>
      <c r="F185" s="84">
        <v>1500</v>
      </c>
      <c r="H185" s="84">
        <v>1000</v>
      </c>
      <c r="J185" s="84">
        <v>1500</v>
      </c>
      <c r="K185" s="84"/>
      <c r="M185" s="80">
        <f t="shared" si="12"/>
        <v>375</v>
      </c>
      <c r="O185" s="84">
        <v>0</v>
      </c>
      <c r="Q185" s="87">
        <f t="shared" si="13"/>
        <v>375</v>
      </c>
      <c r="S185" s="84">
        <v>0</v>
      </c>
    </row>
    <row r="186" spans="1:19" x14ac:dyDescent="0.35">
      <c r="A186" s="83" t="s">
        <v>2776</v>
      </c>
      <c r="D186" s="83" t="s">
        <v>2658</v>
      </c>
      <c r="F186" s="84">
        <v>0</v>
      </c>
      <c r="H186" s="84">
        <v>0</v>
      </c>
      <c r="J186" s="84">
        <v>0</v>
      </c>
      <c r="K186" s="84"/>
      <c r="M186" s="80">
        <f t="shared" si="12"/>
        <v>0</v>
      </c>
      <c r="O186" s="84">
        <v>0</v>
      </c>
      <c r="Q186" s="87">
        <f t="shared" si="13"/>
        <v>0</v>
      </c>
      <c r="S186" s="84">
        <v>0</v>
      </c>
    </row>
    <row r="187" spans="1:19" ht="13.9" x14ac:dyDescent="0.4">
      <c r="B187" s="83"/>
      <c r="D187" s="88" t="s">
        <v>1042</v>
      </c>
      <c r="F187" s="85">
        <f>SUM(F181:F186)</f>
        <v>1500</v>
      </c>
      <c r="H187" s="85">
        <f>SUM(H181:H186)</f>
        <v>1322</v>
      </c>
      <c r="J187" s="85">
        <f>SUM(J181:J186)</f>
        <v>1500</v>
      </c>
      <c r="K187" s="108"/>
      <c r="M187" s="85">
        <f>SUM(M181:M186)</f>
        <v>375</v>
      </c>
      <c r="O187" s="85">
        <f>SUM(O181:O186)</f>
        <v>0</v>
      </c>
      <c r="Q187" s="74">
        <f>SUM(Q181:Q186)</f>
        <v>375</v>
      </c>
      <c r="S187" s="85">
        <f>SUM(S181:S186)</f>
        <v>0</v>
      </c>
    </row>
    <row r="188" spans="1:19" x14ac:dyDescent="0.35">
      <c r="S188" s="79"/>
    </row>
    <row r="189" spans="1:19" ht="13.9" x14ac:dyDescent="0.35">
      <c r="D189" s="82" t="s">
        <v>1068</v>
      </c>
      <c r="S189" s="79"/>
    </row>
    <row r="190" spans="1:19" x14ac:dyDescent="0.35">
      <c r="A190" s="83" t="s">
        <v>2777</v>
      </c>
      <c r="D190" s="83" t="s">
        <v>2664</v>
      </c>
      <c r="F190" s="84">
        <v>63915</v>
      </c>
      <c r="H190" s="84">
        <v>63915</v>
      </c>
      <c r="J190" s="84">
        <f>80730-20200</f>
        <v>60530</v>
      </c>
      <c r="K190" s="84"/>
      <c r="M190" s="80">
        <f>+J190/12*3</f>
        <v>15132.5</v>
      </c>
      <c r="O190" s="84">
        <v>15132</v>
      </c>
      <c r="Q190" s="87">
        <f t="shared" ref="Q190:Q213" si="14">+M190-O190</f>
        <v>0.5</v>
      </c>
      <c r="S190" s="84">
        <v>13695</v>
      </c>
    </row>
    <row r="191" spans="1:19" x14ac:dyDescent="0.35">
      <c r="A191" s="83" t="s">
        <v>2778</v>
      </c>
      <c r="D191" s="83" t="s">
        <v>1403</v>
      </c>
      <c r="F191" s="84">
        <v>0</v>
      </c>
      <c r="H191" s="84">
        <v>1338</v>
      </c>
      <c r="J191" s="84">
        <v>0</v>
      </c>
      <c r="K191" s="84"/>
      <c r="M191" s="80">
        <f t="shared" ref="M191:M213" si="15">+J191/12*3</f>
        <v>0</v>
      </c>
      <c r="O191" s="84">
        <v>224</v>
      </c>
      <c r="Q191" s="87">
        <f t="shared" si="14"/>
        <v>-224</v>
      </c>
      <c r="S191" s="84">
        <v>331</v>
      </c>
    </row>
    <row r="192" spans="1:19" x14ac:dyDescent="0.35">
      <c r="A192" s="83" t="s">
        <v>2779</v>
      </c>
      <c r="D192" s="83" t="s">
        <v>2668</v>
      </c>
      <c r="F192" s="84">
        <v>530</v>
      </c>
      <c r="H192" s="84">
        <v>530</v>
      </c>
      <c r="J192" s="84">
        <v>500</v>
      </c>
      <c r="K192" s="84"/>
      <c r="M192" s="80">
        <f t="shared" si="15"/>
        <v>125</v>
      </c>
      <c r="O192" s="84">
        <v>0</v>
      </c>
      <c r="Q192" s="87">
        <f t="shared" si="14"/>
        <v>125</v>
      </c>
      <c r="S192" s="84">
        <v>0</v>
      </c>
    </row>
    <row r="193" spans="1:19" x14ac:dyDescent="0.35">
      <c r="A193" s="83" t="s">
        <v>2780</v>
      </c>
      <c r="D193" s="83" t="s">
        <v>1069</v>
      </c>
      <c r="F193" s="84">
        <v>13290</v>
      </c>
      <c r="H193" s="84">
        <v>13290</v>
      </c>
      <c r="J193" s="84">
        <v>15433</v>
      </c>
      <c r="K193" s="84"/>
      <c r="M193" s="80">
        <f t="shared" si="15"/>
        <v>3858.25</v>
      </c>
      <c r="O193" s="84">
        <v>3591</v>
      </c>
      <c r="Q193" s="87">
        <f t="shared" si="14"/>
        <v>267.25</v>
      </c>
      <c r="S193" s="84">
        <v>3323</v>
      </c>
    </row>
    <row r="194" spans="1:19" x14ac:dyDescent="0.35">
      <c r="A194" s="83" t="s">
        <v>2781</v>
      </c>
      <c r="D194" s="83" t="s">
        <v>2615</v>
      </c>
      <c r="F194" s="84">
        <v>10702</v>
      </c>
      <c r="H194" s="84">
        <v>10702</v>
      </c>
      <c r="J194" s="84">
        <f>10702/(63915+15000)*(60530+20200)</f>
        <v>10948.139897357916</v>
      </c>
      <c r="K194" s="84"/>
      <c r="M194" s="80">
        <f t="shared" si="15"/>
        <v>2737.034974339479</v>
      </c>
      <c r="O194" s="84">
        <v>2858</v>
      </c>
      <c r="Q194" s="87">
        <f t="shared" si="14"/>
        <v>-120.96502566052095</v>
      </c>
      <c r="S194" s="84">
        <v>2675</v>
      </c>
    </row>
    <row r="195" spans="1:19" x14ac:dyDescent="0.35">
      <c r="A195" s="83" t="s">
        <v>2782</v>
      </c>
      <c r="D195" s="83" t="s">
        <v>1071</v>
      </c>
      <c r="F195" s="84">
        <v>0</v>
      </c>
      <c r="H195" s="84">
        <v>339</v>
      </c>
      <c r="J195" s="84"/>
      <c r="K195" s="84"/>
      <c r="M195" s="80">
        <f t="shared" si="15"/>
        <v>0</v>
      </c>
      <c r="O195" s="84">
        <v>0</v>
      </c>
      <c r="Q195" s="87">
        <f t="shared" si="14"/>
        <v>0</v>
      </c>
      <c r="S195" s="84">
        <v>0</v>
      </c>
    </row>
    <row r="196" spans="1:19" x14ac:dyDescent="0.35">
      <c r="A196" s="83" t="s">
        <v>2783</v>
      </c>
      <c r="D196" s="83" t="s">
        <v>2784</v>
      </c>
      <c r="F196" s="84">
        <v>600</v>
      </c>
      <c r="H196" s="84">
        <v>1530</v>
      </c>
      <c r="J196" s="84">
        <v>600</v>
      </c>
      <c r="K196" s="84"/>
      <c r="M196" s="80">
        <f t="shared" si="15"/>
        <v>150</v>
      </c>
      <c r="O196" s="84">
        <v>639</v>
      </c>
      <c r="Q196" s="87">
        <f t="shared" si="14"/>
        <v>-489</v>
      </c>
      <c r="S196" s="84">
        <v>354</v>
      </c>
    </row>
    <row r="197" spans="1:19" x14ac:dyDescent="0.35">
      <c r="A197" s="83" t="s">
        <v>2785</v>
      </c>
      <c r="D197" s="83" t="s">
        <v>2617</v>
      </c>
      <c r="F197" s="84">
        <v>500</v>
      </c>
      <c r="H197" s="84">
        <v>2977</v>
      </c>
      <c r="J197" s="84">
        <v>500</v>
      </c>
      <c r="K197" s="84"/>
      <c r="M197" s="80">
        <f t="shared" si="15"/>
        <v>125</v>
      </c>
      <c r="O197" s="84">
        <v>1100</v>
      </c>
      <c r="Q197" s="87">
        <f t="shared" si="14"/>
        <v>-975</v>
      </c>
      <c r="S197" s="84">
        <v>800</v>
      </c>
    </row>
    <row r="198" spans="1:19" x14ac:dyDescent="0.35">
      <c r="A198" s="83" t="s">
        <v>2786</v>
      </c>
      <c r="D198" s="83" t="s">
        <v>2619</v>
      </c>
      <c r="F198" s="84">
        <v>500</v>
      </c>
      <c r="H198" s="84">
        <v>3256</v>
      </c>
      <c r="J198" s="84">
        <v>500</v>
      </c>
      <c r="K198" s="84"/>
      <c r="M198" s="80">
        <f t="shared" si="15"/>
        <v>125</v>
      </c>
      <c r="O198" s="84">
        <v>445</v>
      </c>
      <c r="Q198" s="87">
        <f t="shared" si="14"/>
        <v>-320</v>
      </c>
      <c r="S198" s="84">
        <v>239</v>
      </c>
    </row>
    <row r="199" spans="1:19" x14ac:dyDescent="0.35">
      <c r="A199" s="83" t="s">
        <v>2787</v>
      </c>
      <c r="D199" s="83" t="s">
        <v>2623</v>
      </c>
      <c r="F199" s="84">
        <v>1000</v>
      </c>
      <c r="H199" s="84">
        <v>1539</v>
      </c>
      <c r="J199" s="84">
        <v>1000</v>
      </c>
      <c r="K199" s="84"/>
      <c r="M199" s="80">
        <f t="shared" si="15"/>
        <v>250</v>
      </c>
      <c r="O199" s="84">
        <v>116</v>
      </c>
      <c r="Q199" s="87">
        <f t="shared" si="14"/>
        <v>134</v>
      </c>
      <c r="S199" s="84">
        <v>581</v>
      </c>
    </row>
    <row r="200" spans="1:19" x14ac:dyDescent="0.35">
      <c r="A200" s="83" t="s">
        <v>2788</v>
      </c>
      <c r="D200" s="83" t="s">
        <v>2625</v>
      </c>
      <c r="F200" s="84">
        <v>500</v>
      </c>
      <c r="H200" s="84">
        <v>309</v>
      </c>
      <c r="J200" s="84">
        <v>500</v>
      </c>
      <c r="K200" s="84"/>
      <c r="M200" s="80">
        <f t="shared" si="15"/>
        <v>125</v>
      </c>
      <c r="O200" s="84">
        <v>35</v>
      </c>
      <c r="Q200" s="87">
        <f t="shared" si="14"/>
        <v>90</v>
      </c>
      <c r="S200" s="84">
        <v>53</v>
      </c>
    </row>
    <row r="201" spans="1:19" x14ac:dyDescent="0.35">
      <c r="A201" s="83" t="s">
        <v>2789</v>
      </c>
      <c r="D201" s="83" t="s">
        <v>2627</v>
      </c>
      <c r="F201" s="84">
        <v>2000</v>
      </c>
      <c r="H201" s="84">
        <v>3000</v>
      </c>
      <c r="J201" s="84">
        <v>2000</v>
      </c>
      <c r="K201" s="84"/>
      <c r="M201" s="80">
        <f t="shared" si="15"/>
        <v>500</v>
      </c>
      <c r="O201" s="84">
        <v>510</v>
      </c>
      <c r="Q201" s="87">
        <f t="shared" si="14"/>
        <v>-10</v>
      </c>
      <c r="S201" s="84">
        <v>0</v>
      </c>
    </row>
    <row r="202" spans="1:19" x14ac:dyDescent="0.35">
      <c r="A202" s="83" t="s">
        <v>2790</v>
      </c>
      <c r="D202" s="83" t="s">
        <v>1061</v>
      </c>
      <c r="F202" s="84">
        <v>15000</v>
      </c>
      <c r="H202" s="84">
        <v>15000</v>
      </c>
      <c r="J202" s="84">
        <v>20200</v>
      </c>
      <c r="K202" s="84"/>
      <c r="M202" s="80">
        <f t="shared" si="15"/>
        <v>5050</v>
      </c>
      <c r="O202" s="84">
        <v>6733</v>
      </c>
      <c r="Q202" s="87">
        <f t="shared" si="14"/>
        <v>-1683</v>
      </c>
      <c r="S202" s="84">
        <v>0</v>
      </c>
    </row>
    <row r="203" spans="1:19" x14ac:dyDescent="0.35">
      <c r="A203" s="83" t="s">
        <v>2792</v>
      </c>
      <c r="D203" s="83" t="s">
        <v>2631</v>
      </c>
      <c r="F203" s="84">
        <v>7000</v>
      </c>
      <c r="H203" s="84">
        <f>10113+298</f>
        <v>10411</v>
      </c>
      <c r="J203" s="84">
        <v>7000</v>
      </c>
      <c r="K203" s="84"/>
      <c r="M203" s="80">
        <f t="shared" si="15"/>
        <v>1750</v>
      </c>
      <c r="O203" s="84">
        <v>2664</v>
      </c>
      <c r="Q203" s="87">
        <f t="shared" si="14"/>
        <v>-914</v>
      </c>
      <c r="S203" s="84">
        <f>662+1018</f>
        <v>1680</v>
      </c>
    </row>
    <row r="204" spans="1:19" x14ac:dyDescent="0.35">
      <c r="A204" s="83" t="s">
        <v>2793</v>
      </c>
      <c r="D204" s="83" t="s">
        <v>2794</v>
      </c>
      <c r="F204" s="84">
        <v>0</v>
      </c>
      <c r="H204" s="84">
        <v>200</v>
      </c>
      <c r="J204" s="84"/>
      <c r="K204" s="84"/>
      <c r="M204" s="80">
        <f t="shared" si="15"/>
        <v>0</v>
      </c>
      <c r="O204" s="84">
        <v>0</v>
      </c>
      <c r="Q204" s="87">
        <f t="shared" si="14"/>
        <v>0</v>
      </c>
      <c r="S204" s="84">
        <v>13</v>
      </c>
    </row>
    <row r="205" spans="1:19" x14ac:dyDescent="0.35">
      <c r="A205" s="83" t="s">
        <v>2795</v>
      </c>
      <c r="D205" s="83" t="s">
        <v>2796</v>
      </c>
      <c r="F205" s="84">
        <v>0</v>
      </c>
      <c r="H205" s="84">
        <v>120</v>
      </c>
      <c r="J205" s="84"/>
      <c r="K205" s="84"/>
      <c r="M205" s="80">
        <f t="shared" si="15"/>
        <v>0</v>
      </c>
      <c r="O205" s="84">
        <v>0</v>
      </c>
      <c r="Q205" s="87">
        <f t="shared" si="14"/>
        <v>0</v>
      </c>
      <c r="S205" s="84">
        <v>0</v>
      </c>
    </row>
    <row r="206" spans="1:19" x14ac:dyDescent="0.35">
      <c r="A206" s="83" t="s">
        <v>2797</v>
      </c>
      <c r="D206" s="83" t="s">
        <v>1072</v>
      </c>
      <c r="F206" s="84">
        <v>44000</v>
      </c>
      <c r="H206" s="84">
        <v>41634</v>
      </c>
      <c r="J206" s="80">
        <v>40000</v>
      </c>
      <c r="K206" s="80"/>
      <c r="M206" s="80">
        <f t="shared" si="15"/>
        <v>10000</v>
      </c>
      <c r="O206" s="84">
        <v>13726</v>
      </c>
      <c r="Q206" s="87">
        <f t="shared" si="14"/>
        <v>-3726</v>
      </c>
      <c r="S206" s="84">
        <v>5000</v>
      </c>
    </row>
    <row r="207" spans="1:19" x14ac:dyDescent="0.35">
      <c r="A207" s="83" t="s">
        <v>2798</v>
      </c>
      <c r="D207" s="83" t="s">
        <v>1073</v>
      </c>
      <c r="F207" s="84">
        <v>44000</v>
      </c>
      <c r="H207" s="84">
        <v>29060</v>
      </c>
      <c r="J207" s="80">
        <v>40000</v>
      </c>
      <c r="K207" s="80"/>
      <c r="M207" s="80">
        <f t="shared" si="15"/>
        <v>10000</v>
      </c>
      <c r="O207" s="84">
        <v>24000</v>
      </c>
      <c r="Q207" s="87">
        <f t="shared" si="14"/>
        <v>-14000</v>
      </c>
      <c r="S207" s="84">
        <v>450</v>
      </c>
    </row>
    <row r="208" spans="1:19" x14ac:dyDescent="0.35">
      <c r="A208" s="83"/>
      <c r="D208" s="83" t="s">
        <v>2176</v>
      </c>
      <c r="F208" s="84">
        <v>0</v>
      </c>
      <c r="H208" s="84">
        <v>0</v>
      </c>
      <c r="J208" s="80">
        <v>0</v>
      </c>
      <c r="K208" s="80"/>
      <c r="M208" s="80">
        <f t="shared" si="15"/>
        <v>0</v>
      </c>
      <c r="O208" s="84">
        <v>300</v>
      </c>
      <c r="Q208" s="87">
        <f>+M208-O208</f>
        <v>-300</v>
      </c>
      <c r="S208" s="84">
        <v>4440</v>
      </c>
    </row>
    <row r="209" spans="1:19" x14ac:dyDescent="0.35">
      <c r="A209" s="83" t="s">
        <v>2799</v>
      </c>
      <c r="D209" s="83" t="s">
        <v>1074</v>
      </c>
      <c r="F209" s="84">
        <v>8000</v>
      </c>
      <c r="H209" s="84">
        <v>11387</v>
      </c>
      <c r="J209" s="80">
        <v>8000</v>
      </c>
      <c r="K209" s="80"/>
      <c r="M209" s="80">
        <f t="shared" si="15"/>
        <v>2000</v>
      </c>
      <c r="O209" s="84">
        <v>0</v>
      </c>
      <c r="Q209" s="87">
        <f t="shared" si="14"/>
        <v>2000</v>
      </c>
      <c r="S209" s="84">
        <v>0</v>
      </c>
    </row>
    <row r="210" spans="1:19" x14ac:dyDescent="0.35">
      <c r="A210" s="83" t="s">
        <v>2800</v>
      </c>
      <c r="D210" s="83" t="s">
        <v>2801</v>
      </c>
      <c r="F210" s="84">
        <v>22500</v>
      </c>
      <c r="H210" s="84">
        <v>19532</v>
      </c>
      <c r="J210" s="80">
        <v>22500</v>
      </c>
      <c r="K210" s="80"/>
      <c r="M210" s="80">
        <f t="shared" si="15"/>
        <v>5625</v>
      </c>
      <c r="O210" s="84">
        <v>5297</v>
      </c>
      <c r="Q210" s="87">
        <f t="shared" si="14"/>
        <v>328</v>
      </c>
      <c r="S210" s="84">
        <v>4445</v>
      </c>
    </row>
    <row r="211" spans="1:19" x14ac:dyDescent="0.35">
      <c r="A211" s="83" t="s">
        <v>2802</v>
      </c>
      <c r="D211" s="83" t="s">
        <v>1075</v>
      </c>
      <c r="F211" s="84">
        <v>12900</v>
      </c>
      <c r="H211" s="84">
        <v>17487</v>
      </c>
      <c r="J211" s="80">
        <v>12900</v>
      </c>
      <c r="K211" s="80"/>
      <c r="M211" s="80">
        <f t="shared" si="15"/>
        <v>3225</v>
      </c>
      <c r="O211" s="84">
        <v>3264</v>
      </c>
      <c r="Q211" s="87">
        <f t="shared" si="14"/>
        <v>-39</v>
      </c>
      <c r="S211" s="84">
        <v>4329</v>
      </c>
    </row>
    <row r="212" spans="1:19" x14ac:dyDescent="0.35">
      <c r="A212" s="83" t="s">
        <v>2803</v>
      </c>
      <c r="D212" s="83" t="s">
        <v>1076</v>
      </c>
      <c r="F212" s="84">
        <v>2000</v>
      </c>
      <c r="H212" s="84">
        <v>2571</v>
      </c>
      <c r="J212" s="80">
        <v>2000</v>
      </c>
      <c r="K212" s="80"/>
      <c r="M212" s="80">
        <f t="shared" si="15"/>
        <v>500</v>
      </c>
      <c r="O212" s="84">
        <v>0</v>
      </c>
      <c r="Q212" s="87">
        <f t="shared" si="14"/>
        <v>500</v>
      </c>
      <c r="S212" s="84">
        <v>0</v>
      </c>
    </row>
    <row r="213" spans="1:19" x14ac:dyDescent="0.35">
      <c r="A213" s="83" t="s">
        <v>489</v>
      </c>
      <c r="D213" s="83" t="s">
        <v>2658</v>
      </c>
      <c r="F213" s="84">
        <v>0</v>
      </c>
      <c r="H213" s="87">
        <v>-1000</v>
      </c>
      <c r="J213" s="84">
        <v>0</v>
      </c>
      <c r="K213" s="84"/>
      <c r="M213" s="80">
        <f t="shared" si="15"/>
        <v>0</v>
      </c>
      <c r="O213" s="84">
        <v>0</v>
      </c>
      <c r="Q213" s="87">
        <f t="shared" si="14"/>
        <v>0</v>
      </c>
      <c r="S213" s="84">
        <v>0</v>
      </c>
    </row>
    <row r="214" spans="1:19" ht="13.9" x14ac:dyDescent="0.4">
      <c r="B214" s="83"/>
      <c r="D214" s="88" t="s">
        <v>1042</v>
      </c>
      <c r="F214" s="85">
        <f>SUM(F190:F213)</f>
        <v>248937</v>
      </c>
      <c r="H214" s="85">
        <f>SUM(H190:H213)</f>
        <v>249127</v>
      </c>
      <c r="J214" s="85">
        <f>SUM(J190:J213)</f>
        <v>245111.13989735791</v>
      </c>
      <c r="K214" s="108"/>
      <c r="M214" s="85">
        <f>SUM(M190:M213)</f>
        <v>61277.784974339476</v>
      </c>
      <c r="O214" s="85">
        <f>SUM(O190:O213)</f>
        <v>80634</v>
      </c>
      <c r="Q214" s="74">
        <f>SUM(Q190:Q213)</f>
        <v>-19356.21502566052</v>
      </c>
      <c r="S214" s="85">
        <f>SUM(S190:S213)</f>
        <v>42408</v>
      </c>
    </row>
    <row r="215" spans="1:19" x14ac:dyDescent="0.35">
      <c r="S215" s="79"/>
    </row>
    <row r="216" spans="1:19" ht="13.9" x14ac:dyDescent="0.35">
      <c r="D216" s="82" t="s">
        <v>1077</v>
      </c>
      <c r="S216" s="79"/>
    </row>
    <row r="217" spans="1:19" hidden="1" x14ac:dyDescent="0.35">
      <c r="A217" s="83" t="s">
        <v>490</v>
      </c>
      <c r="D217" s="83" t="s">
        <v>491</v>
      </c>
      <c r="F217" s="84">
        <v>0</v>
      </c>
      <c r="H217" s="84">
        <v>0</v>
      </c>
      <c r="J217" s="84">
        <v>0</v>
      </c>
      <c r="K217" s="84"/>
      <c r="M217" s="84">
        <v>0</v>
      </c>
      <c r="O217" s="84">
        <v>0</v>
      </c>
      <c r="Q217" s="87">
        <v>0</v>
      </c>
      <c r="S217" s="84">
        <v>0</v>
      </c>
    </row>
    <row r="218" spans="1:19" x14ac:dyDescent="0.35">
      <c r="A218" s="83" t="s">
        <v>492</v>
      </c>
      <c r="D218" s="83" t="s">
        <v>2619</v>
      </c>
      <c r="F218" s="84">
        <v>0</v>
      </c>
      <c r="H218" s="84">
        <v>167</v>
      </c>
      <c r="J218" s="84">
        <v>0</v>
      </c>
      <c r="K218" s="84"/>
      <c r="M218" s="80">
        <f>+J218/12*3</f>
        <v>0</v>
      </c>
      <c r="O218" s="84">
        <v>0</v>
      </c>
      <c r="Q218" s="87">
        <f>+M218-O218</f>
        <v>0</v>
      </c>
      <c r="S218" s="84">
        <v>82</v>
      </c>
    </row>
    <row r="219" spans="1:19" x14ac:dyDescent="0.35">
      <c r="A219" s="83" t="s">
        <v>493</v>
      </c>
      <c r="D219" s="83" t="s">
        <v>2244</v>
      </c>
      <c r="F219" s="84">
        <v>0</v>
      </c>
      <c r="H219" s="84">
        <v>0</v>
      </c>
      <c r="J219" s="84">
        <v>0</v>
      </c>
      <c r="K219" s="84"/>
      <c r="M219" s="80">
        <f>+J219/12*2</f>
        <v>0</v>
      </c>
      <c r="O219" s="84">
        <v>10</v>
      </c>
      <c r="Q219" s="87">
        <f>+M219-O219</f>
        <v>-10</v>
      </c>
      <c r="S219" s="84">
        <v>0</v>
      </c>
    </row>
    <row r="220" spans="1:19" hidden="1" x14ac:dyDescent="0.35">
      <c r="A220" s="83" t="s">
        <v>494</v>
      </c>
      <c r="D220" s="83" t="s">
        <v>2655</v>
      </c>
      <c r="F220" s="84">
        <v>0</v>
      </c>
      <c r="H220" s="84">
        <v>0</v>
      </c>
      <c r="J220" s="84">
        <v>0</v>
      </c>
      <c r="K220" s="84"/>
      <c r="M220" s="80">
        <f>+J220/12*2</f>
        <v>0</v>
      </c>
      <c r="O220" s="84">
        <v>0</v>
      </c>
      <c r="Q220" s="87">
        <f>+M220-O220</f>
        <v>0</v>
      </c>
      <c r="S220" s="84">
        <v>0</v>
      </c>
    </row>
    <row r="221" spans="1:19" x14ac:dyDescent="0.35">
      <c r="A221" s="83" t="s">
        <v>495</v>
      </c>
      <c r="D221" s="83" t="s">
        <v>2633</v>
      </c>
      <c r="F221" s="84">
        <v>2500</v>
      </c>
      <c r="H221" s="84">
        <v>2341</v>
      </c>
      <c r="J221" s="84">
        <v>3500</v>
      </c>
      <c r="K221" s="84"/>
      <c r="M221" s="80">
        <f>+J221/12*3</f>
        <v>875</v>
      </c>
      <c r="O221" s="84">
        <v>514</v>
      </c>
      <c r="Q221" s="87">
        <f>+M221-O221</f>
        <v>361</v>
      </c>
      <c r="S221" s="84">
        <v>163</v>
      </c>
    </row>
    <row r="222" spans="1:19" hidden="1" x14ac:dyDescent="0.35">
      <c r="A222" s="83" t="s">
        <v>496</v>
      </c>
      <c r="D222" s="83" t="s">
        <v>497</v>
      </c>
      <c r="F222" s="84">
        <v>0</v>
      </c>
      <c r="H222" s="84">
        <v>0</v>
      </c>
      <c r="J222" s="84">
        <v>0</v>
      </c>
      <c r="K222" s="84"/>
      <c r="M222" s="84">
        <v>0</v>
      </c>
      <c r="O222" s="84">
        <v>0</v>
      </c>
      <c r="Q222" s="87">
        <v>0</v>
      </c>
      <c r="S222" s="84">
        <v>0</v>
      </c>
    </row>
    <row r="223" spans="1:19" hidden="1" x14ac:dyDescent="0.35">
      <c r="A223" s="83" t="s">
        <v>498</v>
      </c>
      <c r="D223" s="83" t="s">
        <v>499</v>
      </c>
      <c r="F223" s="84">
        <v>0</v>
      </c>
      <c r="H223" s="84">
        <v>0</v>
      </c>
      <c r="J223" s="84">
        <v>0</v>
      </c>
      <c r="K223" s="84"/>
      <c r="M223" s="84">
        <v>0</v>
      </c>
      <c r="O223" s="84">
        <v>0</v>
      </c>
      <c r="Q223" s="87">
        <v>0</v>
      </c>
      <c r="S223" s="84">
        <v>0</v>
      </c>
    </row>
    <row r="224" spans="1:19" ht="13.9" x14ac:dyDescent="0.4">
      <c r="B224" s="83"/>
      <c r="D224" s="88" t="s">
        <v>1042</v>
      </c>
      <c r="F224" s="85">
        <f>SUM(F217:F223)</f>
        <v>2500</v>
      </c>
      <c r="H224" s="85">
        <f>SUM(H217:H223)</f>
        <v>2508</v>
      </c>
      <c r="J224" s="85">
        <f>SUM(J217:J223)</f>
        <v>3500</v>
      </c>
      <c r="K224" s="108"/>
      <c r="M224" s="85">
        <f>SUM(M217:M223)</f>
        <v>875</v>
      </c>
      <c r="O224" s="85">
        <f>SUM(O217:O223)</f>
        <v>524</v>
      </c>
      <c r="Q224" s="74">
        <f>SUM(Q217:Q223)</f>
        <v>351</v>
      </c>
      <c r="S224" s="85">
        <f>SUM(S217:S223)</f>
        <v>245</v>
      </c>
    </row>
    <row r="225" spans="1:19" x14ac:dyDescent="0.35">
      <c r="S225" s="79"/>
    </row>
    <row r="226" spans="1:19" ht="13.9" x14ac:dyDescent="0.35">
      <c r="D226" s="82" t="s">
        <v>1078</v>
      </c>
      <c r="S226" s="79"/>
    </row>
    <row r="227" spans="1:19" x14ac:dyDescent="0.35">
      <c r="A227" s="83" t="s">
        <v>500</v>
      </c>
      <c r="D227" s="83" t="s">
        <v>2796</v>
      </c>
      <c r="F227" s="84">
        <v>850</v>
      </c>
      <c r="H227" s="84">
        <v>303</v>
      </c>
      <c r="J227" s="84">
        <v>925</v>
      </c>
      <c r="K227" s="84"/>
      <c r="M227" s="80">
        <f>+J227/12*3</f>
        <v>231.25</v>
      </c>
      <c r="O227" s="84">
        <v>0</v>
      </c>
      <c r="Q227" s="87">
        <f>+M227-O227</f>
        <v>231.25</v>
      </c>
      <c r="S227" s="84">
        <v>0</v>
      </c>
    </row>
    <row r="228" spans="1:19" hidden="1" x14ac:dyDescent="0.35">
      <c r="A228" s="83" t="s">
        <v>501</v>
      </c>
      <c r="D228" s="83" t="s">
        <v>2287</v>
      </c>
      <c r="F228" s="84">
        <v>0</v>
      </c>
      <c r="H228" s="84">
        <v>0</v>
      </c>
      <c r="J228" s="84">
        <v>0</v>
      </c>
      <c r="K228" s="84"/>
      <c r="M228" s="84">
        <v>0</v>
      </c>
      <c r="O228" s="84">
        <v>0</v>
      </c>
      <c r="Q228" s="87">
        <v>0</v>
      </c>
      <c r="S228" s="84">
        <v>0</v>
      </c>
    </row>
    <row r="229" spans="1:19" ht="13.9" x14ac:dyDescent="0.4">
      <c r="B229" s="83"/>
      <c r="D229" s="88" t="s">
        <v>1042</v>
      </c>
      <c r="F229" s="85">
        <f>SUM(F227:F228)</f>
        <v>850</v>
      </c>
      <c r="H229" s="85">
        <f>SUM(H227:H228)</f>
        <v>303</v>
      </c>
      <c r="J229" s="85">
        <f>SUM(J227:J228)</f>
        <v>925</v>
      </c>
      <c r="K229" s="108"/>
      <c r="M229" s="85">
        <f>SUM(M227:M228)</f>
        <v>231.25</v>
      </c>
      <c r="O229" s="85">
        <f>SUM(O227:O228)</f>
        <v>0</v>
      </c>
      <c r="Q229" s="74">
        <f>SUM(Q227:Q228)</f>
        <v>231.25</v>
      </c>
      <c r="S229" s="85">
        <f>SUM(S227:S228)</f>
        <v>0</v>
      </c>
    </row>
    <row r="230" spans="1:19" x14ac:dyDescent="0.35">
      <c r="S230" s="79"/>
    </row>
    <row r="231" spans="1:19" ht="13.9" x14ac:dyDescent="0.35">
      <c r="D231" s="82" t="s">
        <v>1079</v>
      </c>
      <c r="S231" s="79"/>
    </row>
    <row r="232" spans="1:19" x14ac:dyDescent="0.35">
      <c r="A232" s="83" t="s">
        <v>2288</v>
      </c>
      <c r="D232" s="83" t="s">
        <v>1080</v>
      </c>
      <c r="F232" s="89">
        <v>-15000</v>
      </c>
      <c r="H232" s="89">
        <v>-7003</v>
      </c>
      <c r="J232" s="89"/>
      <c r="K232" s="89"/>
      <c r="M232" s="80">
        <f>+J232/12*3</f>
        <v>0</v>
      </c>
      <c r="O232" s="84">
        <v>-470</v>
      </c>
      <c r="Q232" s="87">
        <f t="shared" ref="Q232:Q250" si="16">+M232-O232</f>
        <v>470</v>
      </c>
      <c r="S232" s="84">
        <v>0</v>
      </c>
    </row>
    <row r="233" spans="1:19" x14ac:dyDescent="0.35">
      <c r="A233" s="83" t="s">
        <v>2289</v>
      </c>
      <c r="D233" s="83" t="s">
        <v>1081</v>
      </c>
      <c r="F233" s="89">
        <v>68832</v>
      </c>
      <c r="H233" s="89">
        <v>68832</v>
      </c>
      <c r="J233" s="89">
        <f>71103-20200</f>
        <v>50903</v>
      </c>
      <c r="K233" s="89"/>
      <c r="M233" s="80">
        <f t="shared" ref="M233:M250" si="17">+J233/12*3</f>
        <v>12725.75</v>
      </c>
      <c r="O233" s="84">
        <v>12726</v>
      </c>
      <c r="Q233" s="87">
        <f t="shared" si="16"/>
        <v>-0.25</v>
      </c>
      <c r="S233" s="84">
        <v>17209</v>
      </c>
    </row>
    <row r="234" spans="1:19" x14ac:dyDescent="0.35">
      <c r="A234" s="83" t="s">
        <v>2290</v>
      </c>
      <c r="D234" s="83" t="s">
        <v>1403</v>
      </c>
      <c r="F234" s="89">
        <v>0</v>
      </c>
      <c r="H234" s="89">
        <v>5266</v>
      </c>
      <c r="J234" s="89"/>
      <c r="K234" s="89"/>
      <c r="M234" s="80">
        <f t="shared" si="17"/>
        <v>0</v>
      </c>
      <c r="O234" s="84">
        <v>811</v>
      </c>
      <c r="Q234" s="87">
        <f t="shared" si="16"/>
        <v>-811</v>
      </c>
      <c r="S234" s="84">
        <v>1316</v>
      </c>
    </row>
    <row r="235" spans="1:19" x14ac:dyDescent="0.35">
      <c r="A235" s="83" t="s">
        <v>2291</v>
      </c>
      <c r="D235" s="83" t="s">
        <v>2668</v>
      </c>
      <c r="F235" s="89">
        <v>400</v>
      </c>
      <c r="H235" s="89">
        <v>400</v>
      </c>
      <c r="J235" s="89"/>
      <c r="K235" s="89"/>
      <c r="M235" s="80">
        <f t="shared" si="17"/>
        <v>0</v>
      </c>
      <c r="O235" s="84">
        <v>0</v>
      </c>
      <c r="Q235" s="87">
        <f t="shared" si="16"/>
        <v>0</v>
      </c>
      <c r="S235" s="84">
        <v>0</v>
      </c>
    </row>
    <row r="236" spans="1:19" x14ac:dyDescent="0.35">
      <c r="A236" s="83" t="s">
        <v>2292</v>
      </c>
      <c r="D236" s="83" t="s">
        <v>1069</v>
      </c>
      <c r="F236" s="89">
        <v>13290</v>
      </c>
      <c r="H236" s="89">
        <v>13290</v>
      </c>
      <c r="J236" s="89">
        <v>15433</v>
      </c>
      <c r="K236" s="89"/>
      <c r="M236" s="80">
        <f t="shared" si="17"/>
        <v>3858.25</v>
      </c>
      <c r="O236" s="84">
        <v>3591</v>
      </c>
      <c r="Q236" s="87">
        <f t="shared" si="16"/>
        <v>267.25</v>
      </c>
      <c r="S236" s="84">
        <v>3323</v>
      </c>
    </row>
    <row r="237" spans="1:19" x14ac:dyDescent="0.35">
      <c r="A237" s="83" t="s">
        <v>2293</v>
      </c>
      <c r="D237" s="83" t="s">
        <v>2615</v>
      </c>
      <c r="F237" s="89">
        <v>10097</v>
      </c>
      <c r="H237" s="89">
        <v>10097</v>
      </c>
      <c r="J237" s="89">
        <f>(10097/68832)*(50903+20200)</f>
        <v>10430.134109135286</v>
      </c>
      <c r="K237" s="89"/>
      <c r="M237" s="80">
        <f t="shared" si="17"/>
        <v>2607.5335272838215</v>
      </c>
      <c r="O237" s="84">
        <v>2714</v>
      </c>
      <c r="Q237" s="87">
        <f t="shared" si="16"/>
        <v>-106.46647271617849</v>
      </c>
      <c r="S237" s="84">
        <v>2524</v>
      </c>
    </row>
    <row r="238" spans="1:19" x14ac:dyDescent="0.35">
      <c r="A238" s="83" t="s">
        <v>2294</v>
      </c>
      <c r="D238" s="83" t="s">
        <v>2617</v>
      </c>
      <c r="F238" s="89">
        <v>0</v>
      </c>
      <c r="H238" s="89">
        <v>2571</v>
      </c>
      <c r="J238" s="89">
        <v>0</v>
      </c>
      <c r="K238" s="89"/>
      <c r="M238" s="80">
        <f t="shared" si="17"/>
        <v>0</v>
      </c>
      <c r="O238" s="84">
        <v>461</v>
      </c>
      <c r="Q238" s="87">
        <f t="shared" si="16"/>
        <v>-461</v>
      </c>
      <c r="S238" s="84">
        <v>398</v>
      </c>
    </row>
    <row r="239" spans="1:19" x14ac:dyDescent="0.35">
      <c r="A239" s="83" t="s">
        <v>503</v>
      </c>
      <c r="D239" s="83" t="s">
        <v>2619</v>
      </c>
      <c r="F239" s="89">
        <v>0</v>
      </c>
      <c r="H239" s="89">
        <v>605</v>
      </c>
      <c r="J239" s="89">
        <v>0</v>
      </c>
      <c r="K239" s="89"/>
      <c r="M239" s="80">
        <f t="shared" si="17"/>
        <v>0</v>
      </c>
      <c r="O239" s="84">
        <v>0</v>
      </c>
      <c r="Q239" s="87">
        <f t="shared" si="16"/>
        <v>0</v>
      </c>
      <c r="S239" s="84">
        <v>9</v>
      </c>
    </row>
    <row r="240" spans="1:19" hidden="1" x14ac:dyDescent="0.35">
      <c r="A240" s="83" t="s">
        <v>504</v>
      </c>
      <c r="D240" s="83" t="s">
        <v>2621</v>
      </c>
      <c r="F240" s="89">
        <v>0</v>
      </c>
      <c r="H240" s="89">
        <v>0</v>
      </c>
      <c r="J240" s="89">
        <v>0</v>
      </c>
      <c r="K240" s="89"/>
      <c r="M240" s="80">
        <f t="shared" si="17"/>
        <v>0</v>
      </c>
      <c r="O240" s="84">
        <v>0</v>
      </c>
      <c r="Q240" s="87">
        <f t="shared" si="16"/>
        <v>0</v>
      </c>
      <c r="S240" s="84">
        <v>0</v>
      </c>
    </row>
    <row r="241" spans="1:19" x14ac:dyDescent="0.35">
      <c r="A241" s="83" t="s">
        <v>505</v>
      </c>
      <c r="D241" s="83" t="s">
        <v>506</v>
      </c>
      <c r="F241" s="89">
        <v>0</v>
      </c>
      <c r="H241" s="89">
        <v>0</v>
      </c>
      <c r="J241" s="89">
        <v>0</v>
      </c>
      <c r="K241" s="89"/>
      <c r="M241" s="80">
        <f t="shared" si="17"/>
        <v>0</v>
      </c>
      <c r="O241" s="84">
        <v>0</v>
      </c>
      <c r="Q241" s="87">
        <f t="shared" si="16"/>
        <v>0</v>
      </c>
      <c r="S241" s="84">
        <v>0</v>
      </c>
    </row>
    <row r="242" spans="1:19" x14ac:dyDescent="0.35">
      <c r="A242" s="83" t="s">
        <v>507</v>
      </c>
      <c r="D242" s="83" t="s">
        <v>2623</v>
      </c>
      <c r="F242" s="89">
        <v>0</v>
      </c>
      <c r="H242" s="89">
        <v>1445</v>
      </c>
      <c r="J242" s="89">
        <v>0</v>
      </c>
      <c r="K242" s="89"/>
      <c r="M242" s="80">
        <f t="shared" si="17"/>
        <v>0</v>
      </c>
      <c r="O242" s="84">
        <v>279</v>
      </c>
      <c r="Q242" s="87">
        <f t="shared" si="16"/>
        <v>-279</v>
      </c>
      <c r="S242" s="84">
        <v>544</v>
      </c>
    </row>
    <row r="243" spans="1:19" x14ac:dyDescent="0.35">
      <c r="A243" s="83" t="s">
        <v>508</v>
      </c>
      <c r="D243" s="83" t="s">
        <v>2625</v>
      </c>
      <c r="F243" s="89">
        <v>0</v>
      </c>
      <c r="H243" s="89">
        <v>0</v>
      </c>
      <c r="J243" s="89">
        <v>0</v>
      </c>
      <c r="K243" s="89"/>
      <c r="M243" s="80">
        <f t="shared" si="17"/>
        <v>0</v>
      </c>
      <c r="O243" s="84">
        <v>0</v>
      </c>
      <c r="Q243" s="87">
        <f t="shared" si="16"/>
        <v>0</v>
      </c>
      <c r="S243" s="84">
        <v>0</v>
      </c>
    </row>
    <row r="244" spans="1:19" x14ac:dyDescent="0.35">
      <c r="A244" s="83" t="s">
        <v>509</v>
      </c>
      <c r="D244" s="83" t="s">
        <v>1082</v>
      </c>
      <c r="F244" s="89">
        <v>0</v>
      </c>
      <c r="H244" s="89">
        <v>0</v>
      </c>
      <c r="J244" s="89">
        <v>0</v>
      </c>
      <c r="K244" s="89"/>
      <c r="M244" s="80">
        <f t="shared" si="17"/>
        <v>0</v>
      </c>
      <c r="O244" s="84">
        <v>0</v>
      </c>
      <c r="Q244" s="87">
        <f t="shared" si="16"/>
        <v>0</v>
      </c>
      <c r="S244" s="84">
        <v>0</v>
      </c>
    </row>
    <row r="245" spans="1:19" x14ac:dyDescent="0.35">
      <c r="A245" s="83" t="s">
        <v>510</v>
      </c>
      <c r="D245" s="83" t="s">
        <v>1061</v>
      </c>
      <c r="F245" s="89">
        <v>0</v>
      </c>
      <c r="H245" s="89">
        <v>0</v>
      </c>
      <c r="J245" s="89">
        <v>20200</v>
      </c>
      <c r="K245" s="89"/>
      <c r="M245" s="80">
        <f t="shared" si="17"/>
        <v>5050</v>
      </c>
      <c r="O245" s="84">
        <v>7070</v>
      </c>
      <c r="Q245" s="87">
        <f t="shared" si="16"/>
        <v>-2020</v>
      </c>
      <c r="S245" s="84">
        <v>0</v>
      </c>
    </row>
    <row r="246" spans="1:19" x14ac:dyDescent="0.35">
      <c r="A246" s="83" t="s">
        <v>511</v>
      </c>
      <c r="D246" s="83" t="s">
        <v>2631</v>
      </c>
      <c r="F246" s="89">
        <v>7000</v>
      </c>
      <c r="H246" s="89">
        <v>11514</v>
      </c>
      <c r="J246" s="89">
        <v>7000</v>
      </c>
      <c r="K246" s="89"/>
      <c r="M246" s="80">
        <f t="shared" si="17"/>
        <v>1750</v>
      </c>
      <c r="O246" s="84">
        <v>3081</v>
      </c>
      <c r="Q246" s="87">
        <f t="shared" si="16"/>
        <v>-1331</v>
      </c>
      <c r="S246" s="84">
        <v>2509</v>
      </c>
    </row>
    <row r="247" spans="1:19" x14ac:dyDescent="0.35">
      <c r="A247" s="83" t="s">
        <v>512</v>
      </c>
      <c r="D247" s="83" t="s">
        <v>1083</v>
      </c>
      <c r="F247" s="89">
        <v>30000</v>
      </c>
      <c r="H247" s="89">
        <v>9130</v>
      </c>
      <c r="J247" s="89">
        <v>20000</v>
      </c>
      <c r="K247" s="89"/>
      <c r="M247" s="80">
        <f t="shared" si="17"/>
        <v>5000</v>
      </c>
      <c r="O247" s="84">
        <v>1520</v>
      </c>
      <c r="Q247" s="87">
        <f t="shared" si="16"/>
        <v>3480</v>
      </c>
      <c r="S247" s="84">
        <v>2280</v>
      </c>
    </row>
    <row r="248" spans="1:19" hidden="1" x14ac:dyDescent="0.35">
      <c r="A248" s="83" t="s">
        <v>513</v>
      </c>
      <c r="D248" s="83" t="s">
        <v>514</v>
      </c>
      <c r="F248" s="89">
        <v>0</v>
      </c>
      <c r="H248" s="89">
        <v>0</v>
      </c>
      <c r="J248" s="89"/>
      <c r="K248" s="89"/>
      <c r="M248" s="80">
        <f t="shared" si="17"/>
        <v>0</v>
      </c>
      <c r="O248" s="84">
        <v>0</v>
      </c>
      <c r="Q248" s="87">
        <f t="shared" si="16"/>
        <v>0</v>
      </c>
      <c r="S248" s="84">
        <v>0</v>
      </c>
    </row>
    <row r="249" spans="1:19" x14ac:dyDescent="0.35">
      <c r="A249" s="83" t="s">
        <v>515</v>
      </c>
      <c r="D249" s="83" t="s">
        <v>2794</v>
      </c>
      <c r="F249" s="89">
        <v>3500</v>
      </c>
      <c r="H249" s="89">
        <v>200</v>
      </c>
      <c r="J249" s="89">
        <v>0</v>
      </c>
      <c r="K249" s="89"/>
      <c r="M249" s="80">
        <f t="shared" si="17"/>
        <v>0</v>
      </c>
      <c r="O249" s="84">
        <v>0</v>
      </c>
      <c r="Q249" s="87">
        <f t="shared" si="16"/>
        <v>0</v>
      </c>
      <c r="S249" s="84">
        <v>200</v>
      </c>
    </row>
    <row r="250" spans="1:19" x14ac:dyDescent="0.35">
      <c r="A250" s="83" t="s">
        <v>516</v>
      </c>
      <c r="D250" s="83" t="s">
        <v>2633</v>
      </c>
      <c r="F250" s="89">
        <v>4100</v>
      </c>
      <c r="H250" s="89">
        <v>2882</v>
      </c>
      <c r="J250" s="89">
        <v>3000</v>
      </c>
      <c r="K250" s="89"/>
      <c r="M250" s="80">
        <f t="shared" si="17"/>
        <v>750</v>
      </c>
      <c r="O250" s="84">
        <v>0</v>
      </c>
      <c r="Q250" s="87">
        <f t="shared" si="16"/>
        <v>750</v>
      </c>
      <c r="S250" s="84">
        <v>1000</v>
      </c>
    </row>
    <row r="251" spans="1:19" hidden="1" x14ac:dyDescent="0.35">
      <c r="A251" s="83" t="s">
        <v>517</v>
      </c>
      <c r="D251" s="83" t="s">
        <v>518</v>
      </c>
      <c r="F251" s="89">
        <v>0</v>
      </c>
      <c r="H251" s="89">
        <v>0</v>
      </c>
      <c r="J251" s="89">
        <v>0</v>
      </c>
      <c r="K251" s="89"/>
      <c r="M251" s="89">
        <v>0</v>
      </c>
      <c r="O251" s="89">
        <v>0</v>
      </c>
      <c r="Q251" s="103">
        <v>0</v>
      </c>
      <c r="S251" s="89">
        <v>0</v>
      </c>
    </row>
    <row r="252" spans="1:19" ht="13.9" x14ac:dyDescent="0.4">
      <c r="B252" s="83"/>
      <c r="D252" s="88" t="s">
        <v>1042</v>
      </c>
      <c r="F252" s="90">
        <f>SUM(F232:F251)</f>
        <v>122219</v>
      </c>
      <c r="H252" s="90">
        <f>SUM(H232:H251)</f>
        <v>119229</v>
      </c>
      <c r="J252" s="90">
        <f>SUM(J232:J251)</f>
        <v>126966.13410913528</v>
      </c>
      <c r="K252" s="137"/>
      <c r="M252" s="90">
        <f>SUM(M232:M251)</f>
        <v>31741.53352728382</v>
      </c>
      <c r="O252" s="90">
        <f>SUM(O232:O251)</f>
        <v>31783</v>
      </c>
      <c r="Q252" s="91">
        <f>SUM(Q232:Q251)</f>
        <v>-41.466472716178032</v>
      </c>
      <c r="S252" s="90">
        <f>SUM(S232:S251)</f>
        <v>31312</v>
      </c>
    </row>
    <row r="253" spans="1:19" x14ac:dyDescent="0.35">
      <c r="F253" s="92"/>
      <c r="H253" s="92"/>
      <c r="J253" s="92"/>
      <c r="K253" s="92"/>
      <c r="M253" s="92"/>
      <c r="O253" s="92"/>
      <c r="Q253" s="95"/>
      <c r="S253" s="92"/>
    </row>
    <row r="254" spans="1:19" ht="13.9" x14ac:dyDescent="0.35">
      <c r="D254" s="82" t="s">
        <v>1084</v>
      </c>
      <c r="F254" s="92"/>
      <c r="H254" s="92"/>
      <c r="J254" s="92"/>
      <c r="K254" s="92"/>
      <c r="M254" s="92"/>
      <c r="O254" s="92"/>
      <c r="Q254" s="95"/>
      <c r="S254" s="92"/>
    </row>
    <row r="255" spans="1:19" hidden="1" x14ac:dyDescent="0.35">
      <c r="A255" s="83" t="s">
        <v>519</v>
      </c>
      <c r="D255" s="83" t="s">
        <v>2617</v>
      </c>
      <c r="F255" s="89">
        <v>0</v>
      </c>
      <c r="H255" s="89">
        <v>0</v>
      </c>
      <c r="J255" s="89">
        <v>0</v>
      </c>
      <c r="K255" s="89"/>
      <c r="M255" s="89">
        <v>0</v>
      </c>
      <c r="O255" s="89">
        <v>0</v>
      </c>
      <c r="Q255" s="103">
        <v>0</v>
      </c>
      <c r="S255" s="89">
        <v>0</v>
      </c>
    </row>
    <row r="256" spans="1:19" hidden="1" x14ac:dyDescent="0.35">
      <c r="A256" s="83" t="s">
        <v>520</v>
      </c>
      <c r="D256" s="83" t="s">
        <v>2647</v>
      </c>
      <c r="F256" s="89">
        <v>0</v>
      </c>
      <c r="H256" s="89">
        <v>0</v>
      </c>
      <c r="J256" s="89">
        <v>0</v>
      </c>
      <c r="K256" s="89"/>
      <c r="M256" s="89">
        <v>0</v>
      </c>
      <c r="O256" s="89">
        <v>0</v>
      </c>
      <c r="Q256" s="103">
        <v>0</v>
      </c>
      <c r="S256" s="89">
        <v>0</v>
      </c>
    </row>
    <row r="257" spans="1:19" x14ac:dyDescent="0.35">
      <c r="A257" s="83" t="s">
        <v>521</v>
      </c>
      <c r="D257" s="83" t="s">
        <v>2244</v>
      </c>
      <c r="F257" s="89">
        <v>0</v>
      </c>
      <c r="H257" s="89">
        <v>0</v>
      </c>
      <c r="J257" s="89">
        <v>0</v>
      </c>
      <c r="K257" s="89"/>
      <c r="M257" s="89">
        <v>0</v>
      </c>
      <c r="O257" s="89">
        <v>1878</v>
      </c>
      <c r="Q257" s="103">
        <v>0</v>
      </c>
      <c r="S257" s="89">
        <v>0</v>
      </c>
    </row>
    <row r="258" spans="1:19" x14ac:dyDescent="0.35">
      <c r="A258" s="83" t="s">
        <v>522</v>
      </c>
      <c r="D258" s="83" t="s">
        <v>2655</v>
      </c>
      <c r="F258" s="89">
        <v>0</v>
      </c>
      <c r="H258" s="89">
        <v>0</v>
      </c>
      <c r="J258" s="89">
        <v>0</v>
      </c>
      <c r="K258" s="89"/>
      <c r="M258" s="89">
        <v>0</v>
      </c>
      <c r="O258" s="89">
        <v>3625</v>
      </c>
      <c r="Q258" s="103">
        <v>0</v>
      </c>
      <c r="S258" s="89">
        <v>0</v>
      </c>
    </row>
    <row r="259" spans="1:19" x14ac:dyDescent="0.35">
      <c r="A259" s="83" t="s">
        <v>523</v>
      </c>
      <c r="D259" s="83" t="s">
        <v>2633</v>
      </c>
      <c r="F259" s="89">
        <v>10500</v>
      </c>
      <c r="H259" s="89">
        <v>768</v>
      </c>
      <c r="J259" s="89">
        <v>10625</v>
      </c>
      <c r="K259" s="89"/>
      <c r="M259" s="80">
        <f>+J259/12*3</f>
        <v>2656.25</v>
      </c>
      <c r="O259" s="84">
        <v>0</v>
      </c>
      <c r="Q259" s="87">
        <f>+M259-O259</f>
        <v>2656.25</v>
      </c>
      <c r="S259" s="84">
        <v>768</v>
      </c>
    </row>
    <row r="260" spans="1:19" ht="13.9" x14ac:dyDescent="0.4">
      <c r="B260" s="83"/>
      <c r="D260" s="88" t="s">
        <v>1042</v>
      </c>
      <c r="F260" s="90">
        <f>SUM(F255:F259)</f>
        <v>10500</v>
      </c>
      <c r="H260" s="90">
        <f>SUM(H255:H259)</f>
        <v>768</v>
      </c>
      <c r="J260" s="90">
        <f>SUM(J255:J259)</f>
        <v>10625</v>
      </c>
      <c r="K260" s="137"/>
      <c r="M260" s="90">
        <f>SUM(M255:M259)</f>
        <v>2656.25</v>
      </c>
      <c r="O260" s="90">
        <f>SUM(O255:O259)</f>
        <v>5503</v>
      </c>
      <c r="Q260" s="91">
        <f>SUM(Q255:Q259)</f>
        <v>2656.25</v>
      </c>
      <c r="S260" s="90">
        <f>SUM(S255:S259)</f>
        <v>768</v>
      </c>
    </row>
    <row r="261" spans="1:19" x14ac:dyDescent="0.35">
      <c r="F261" s="92"/>
      <c r="H261" s="92"/>
      <c r="J261" s="92"/>
      <c r="K261" s="92"/>
      <c r="M261" s="92"/>
      <c r="O261" s="92"/>
      <c r="Q261" s="95"/>
      <c r="S261" s="92"/>
    </row>
    <row r="262" spans="1:19" ht="13.9" x14ac:dyDescent="0.35">
      <c r="D262" s="82" t="s">
        <v>1085</v>
      </c>
      <c r="F262" s="92"/>
      <c r="H262" s="92"/>
      <c r="J262" s="92"/>
      <c r="K262" s="92"/>
      <c r="M262" s="92"/>
      <c r="O262" s="92"/>
      <c r="Q262" s="95"/>
      <c r="S262" s="92"/>
    </row>
    <row r="263" spans="1:19" hidden="1" x14ac:dyDescent="0.35">
      <c r="A263" s="83" t="s">
        <v>524</v>
      </c>
      <c r="D263" s="83" t="s">
        <v>525</v>
      </c>
      <c r="F263" s="89">
        <v>0</v>
      </c>
      <c r="H263" s="89">
        <v>0</v>
      </c>
      <c r="J263" s="89">
        <v>0</v>
      </c>
      <c r="K263" s="89"/>
      <c r="M263" s="89">
        <v>0</v>
      </c>
      <c r="O263" s="89">
        <v>0</v>
      </c>
      <c r="Q263" s="103">
        <v>0</v>
      </c>
      <c r="S263" s="89">
        <v>0</v>
      </c>
    </row>
    <row r="264" spans="1:19" hidden="1" x14ac:dyDescent="0.35">
      <c r="A264" s="83" t="s">
        <v>526</v>
      </c>
      <c r="D264" s="83" t="s">
        <v>527</v>
      </c>
      <c r="F264" s="89">
        <v>0</v>
      </c>
      <c r="H264" s="89">
        <v>0</v>
      </c>
      <c r="J264" s="89">
        <v>0</v>
      </c>
      <c r="K264" s="89"/>
      <c r="M264" s="89">
        <v>0</v>
      </c>
      <c r="O264" s="89">
        <v>0</v>
      </c>
      <c r="Q264" s="103">
        <v>0</v>
      </c>
      <c r="S264" s="89">
        <v>0</v>
      </c>
    </row>
    <row r="265" spans="1:19" hidden="1" x14ac:dyDescent="0.35">
      <c r="A265" s="83" t="s">
        <v>528</v>
      </c>
      <c r="D265" s="83" t="s">
        <v>529</v>
      </c>
      <c r="F265" s="89">
        <v>0</v>
      </c>
      <c r="H265" s="89">
        <v>0</v>
      </c>
      <c r="J265" s="89">
        <v>0</v>
      </c>
      <c r="K265" s="89"/>
      <c r="M265" s="89">
        <v>0</v>
      </c>
      <c r="O265" s="89">
        <v>0</v>
      </c>
      <c r="Q265" s="103">
        <v>0</v>
      </c>
      <c r="S265" s="89">
        <v>0</v>
      </c>
    </row>
    <row r="266" spans="1:19" hidden="1" x14ac:dyDescent="0.35">
      <c r="A266" s="83" t="s">
        <v>530</v>
      </c>
      <c r="D266" s="83" t="s">
        <v>531</v>
      </c>
      <c r="F266" s="89">
        <v>0</v>
      </c>
      <c r="H266" s="89">
        <v>0</v>
      </c>
      <c r="J266" s="89">
        <v>0</v>
      </c>
      <c r="K266" s="89"/>
      <c r="M266" s="89">
        <v>0</v>
      </c>
      <c r="O266" s="89">
        <v>0</v>
      </c>
      <c r="Q266" s="103">
        <v>0</v>
      </c>
      <c r="S266" s="89">
        <v>0</v>
      </c>
    </row>
    <row r="267" spans="1:19" hidden="1" x14ac:dyDescent="0.35">
      <c r="A267" s="83" t="s">
        <v>532</v>
      </c>
      <c r="D267" s="83" t="s">
        <v>533</v>
      </c>
      <c r="F267" s="89">
        <v>0</v>
      </c>
      <c r="H267" s="89">
        <v>0</v>
      </c>
      <c r="J267" s="89">
        <v>0</v>
      </c>
      <c r="K267" s="89"/>
      <c r="M267" s="89">
        <v>0</v>
      </c>
      <c r="O267" s="89">
        <v>0</v>
      </c>
      <c r="Q267" s="103">
        <v>0</v>
      </c>
      <c r="S267" s="89">
        <v>0</v>
      </c>
    </row>
    <row r="268" spans="1:19" x14ac:dyDescent="0.35">
      <c r="A268" s="83" t="s">
        <v>534</v>
      </c>
      <c r="D268" s="83" t="s">
        <v>2796</v>
      </c>
      <c r="F268" s="89">
        <v>250</v>
      </c>
      <c r="H268" s="89">
        <v>0</v>
      </c>
      <c r="J268" s="89">
        <v>250</v>
      </c>
      <c r="K268" s="89"/>
      <c r="M268" s="80">
        <f>+J268/12*3</f>
        <v>62.5</v>
      </c>
      <c r="O268" s="84">
        <v>0</v>
      </c>
      <c r="Q268" s="87">
        <f>+M268-O268</f>
        <v>62.5</v>
      </c>
      <c r="S268" s="84">
        <v>0</v>
      </c>
    </row>
    <row r="269" spans="1:19" hidden="1" x14ac:dyDescent="0.35">
      <c r="A269" s="83" t="s">
        <v>535</v>
      </c>
      <c r="D269" s="83" t="s">
        <v>536</v>
      </c>
      <c r="F269" s="89">
        <v>0</v>
      </c>
      <c r="H269" s="89">
        <v>0</v>
      </c>
      <c r="J269" s="89">
        <v>0</v>
      </c>
      <c r="K269" s="89"/>
      <c r="M269" s="89">
        <v>0</v>
      </c>
      <c r="O269" s="89">
        <v>0</v>
      </c>
      <c r="Q269" s="103">
        <v>0</v>
      </c>
      <c r="S269" s="89">
        <v>0</v>
      </c>
    </row>
    <row r="270" spans="1:19" ht="13.9" x14ac:dyDescent="0.4">
      <c r="B270" s="83"/>
      <c r="D270" s="88" t="s">
        <v>1042</v>
      </c>
      <c r="F270" s="90">
        <f>SUM(F263:F269)</f>
        <v>250</v>
      </c>
      <c r="H270" s="90">
        <f>SUM(H263:H269)</f>
        <v>0</v>
      </c>
      <c r="J270" s="90">
        <f>SUM(J263:J269)</f>
        <v>250</v>
      </c>
      <c r="K270" s="137"/>
      <c r="M270" s="90">
        <f>SUM(M263:M269)</f>
        <v>62.5</v>
      </c>
      <c r="O270" s="90">
        <f>SUM(O263:O269)</f>
        <v>0</v>
      </c>
      <c r="Q270" s="91">
        <f>SUM(Q263:Q269)</f>
        <v>62.5</v>
      </c>
      <c r="S270" s="90">
        <f>SUM(S263:S269)</f>
        <v>0</v>
      </c>
    </row>
    <row r="271" spans="1:19" x14ac:dyDescent="0.35">
      <c r="F271" s="92"/>
      <c r="H271" s="92"/>
      <c r="J271" s="92"/>
      <c r="K271" s="92"/>
      <c r="M271" s="92"/>
      <c r="O271" s="92"/>
      <c r="Q271" s="95"/>
      <c r="S271" s="92"/>
    </row>
    <row r="272" spans="1:19" ht="13.9" x14ac:dyDescent="0.35">
      <c r="D272" s="82" t="s">
        <v>1086</v>
      </c>
      <c r="F272" s="92"/>
      <c r="H272" s="92"/>
      <c r="J272" s="92"/>
      <c r="K272" s="92"/>
      <c r="M272" s="92"/>
      <c r="O272" s="92"/>
      <c r="Q272" s="95"/>
      <c r="S272" s="92"/>
    </row>
    <row r="273" spans="1:19" hidden="1" x14ac:dyDescent="0.35">
      <c r="A273" s="83" t="s">
        <v>537</v>
      </c>
      <c r="D273" s="83" t="s">
        <v>538</v>
      </c>
      <c r="F273" s="89">
        <v>0</v>
      </c>
      <c r="H273" s="89">
        <v>0</v>
      </c>
      <c r="J273" s="89">
        <v>0</v>
      </c>
      <c r="K273" s="89"/>
      <c r="M273" s="89">
        <v>0</v>
      </c>
      <c r="O273" s="89">
        <v>0</v>
      </c>
      <c r="Q273" s="103">
        <v>0</v>
      </c>
      <c r="S273" s="89">
        <v>0</v>
      </c>
    </row>
    <row r="274" spans="1:19" hidden="1" x14ac:dyDescent="0.35">
      <c r="A274" s="83" t="s">
        <v>539</v>
      </c>
      <c r="D274" s="83" t="s">
        <v>540</v>
      </c>
      <c r="F274" s="89">
        <v>0</v>
      </c>
      <c r="H274" s="89">
        <v>0</v>
      </c>
      <c r="J274" s="89">
        <v>0</v>
      </c>
      <c r="K274" s="89"/>
      <c r="M274" s="89">
        <v>0</v>
      </c>
      <c r="O274" s="89">
        <v>0</v>
      </c>
      <c r="Q274" s="103">
        <v>0</v>
      </c>
      <c r="S274" s="89">
        <v>0</v>
      </c>
    </row>
    <row r="275" spans="1:19" hidden="1" x14ac:dyDescent="0.35">
      <c r="A275" s="83" t="s">
        <v>541</v>
      </c>
      <c r="D275" s="83" t="s">
        <v>542</v>
      </c>
      <c r="F275" s="89">
        <v>0</v>
      </c>
      <c r="H275" s="89">
        <v>0</v>
      </c>
      <c r="J275" s="89">
        <v>0</v>
      </c>
      <c r="K275" s="89"/>
      <c r="M275" s="89">
        <v>0</v>
      </c>
      <c r="O275" s="89">
        <v>0</v>
      </c>
      <c r="Q275" s="103">
        <v>0</v>
      </c>
      <c r="S275" s="89">
        <v>0</v>
      </c>
    </row>
    <row r="276" spans="1:19" hidden="1" x14ac:dyDescent="0.35">
      <c r="A276" s="83" t="s">
        <v>543</v>
      </c>
      <c r="D276" s="83" t="s">
        <v>544</v>
      </c>
      <c r="F276" s="89">
        <v>0</v>
      </c>
      <c r="H276" s="89">
        <v>0</v>
      </c>
      <c r="J276" s="89">
        <v>0</v>
      </c>
      <c r="K276" s="89"/>
      <c r="M276" s="89">
        <v>0</v>
      </c>
      <c r="O276" s="89">
        <v>0</v>
      </c>
      <c r="Q276" s="103">
        <v>0</v>
      </c>
      <c r="S276" s="89">
        <v>0</v>
      </c>
    </row>
    <row r="277" spans="1:19" hidden="1" x14ac:dyDescent="0.35">
      <c r="A277" s="83" t="s">
        <v>545</v>
      </c>
      <c r="D277" s="83" t="s">
        <v>546</v>
      </c>
      <c r="F277" s="89">
        <v>0</v>
      </c>
      <c r="H277" s="89">
        <v>0</v>
      </c>
      <c r="J277" s="89">
        <v>0</v>
      </c>
      <c r="K277" s="89"/>
      <c r="M277" s="89">
        <v>0</v>
      </c>
      <c r="O277" s="89">
        <v>0</v>
      </c>
      <c r="Q277" s="103">
        <v>0</v>
      </c>
      <c r="S277" s="89">
        <v>0</v>
      </c>
    </row>
    <row r="278" spans="1:19" hidden="1" x14ac:dyDescent="0.35">
      <c r="A278" s="83" t="s">
        <v>547</v>
      </c>
      <c r="D278" s="83" t="s">
        <v>548</v>
      </c>
      <c r="F278" s="89">
        <v>0</v>
      </c>
      <c r="H278" s="89">
        <v>0</v>
      </c>
      <c r="J278" s="89">
        <v>0</v>
      </c>
      <c r="K278" s="89"/>
      <c r="M278" s="89">
        <v>0</v>
      </c>
      <c r="O278" s="89">
        <v>0</v>
      </c>
      <c r="Q278" s="103">
        <v>0</v>
      </c>
      <c r="S278" s="89">
        <v>0</v>
      </c>
    </row>
    <row r="279" spans="1:19" x14ac:dyDescent="0.35">
      <c r="A279" s="83" t="s">
        <v>549</v>
      </c>
      <c r="D279" s="83" t="s">
        <v>2796</v>
      </c>
      <c r="F279" s="89">
        <v>250</v>
      </c>
      <c r="H279" s="89">
        <v>0</v>
      </c>
      <c r="J279" s="89">
        <v>250</v>
      </c>
      <c r="K279" s="89"/>
      <c r="M279" s="80">
        <f>+J279/12*3</f>
        <v>62.5</v>
      </c>
      <c r="O279" s="84">
        <v>0</v>
      </c>
      <c r="Q279" s="87">
        <f>+M279-O279</f>
        <v>62.5</v>
      </c>
      <c r="S279" s="84">
        <v>0</v>
      </c>
    </row>
    <row r="280" spans="1:19" hidden="1" x14ac:dyDescent="0.35">
      <c r="A280" s="83" t="s">
        <v>550</v>
      </c>
      <c r="D280" s="83" t="s">
        <v>551</v>
      </c>
      <c r="F280" s="89">
        <v>0</v>
      </c>
      <c r="H280" s="89">
        <v>0</v>
      </c>
      <c r="J280" s="89">
        <v>0</v>
      </c>
      <c r="K280" s="89"/>
      <c r="M280" s="89">
        <v>0</v>
      </c>
      <c r="O280" s="89">
        <v>0</v>
      </c>
      <c r="Q280" s="103">
        <v>0</v>
      </c>
      <c r="S280" s="89">
        <v>0</v>
      </c>
    </row>
    <row r="281" spans="1:19" ht="13.9" x14ac:dyDescent="0.4">
      <c r="B281" s="83"/>
      <c r="D281" s="88" t="s">
        <v>1042</v>
      </c>
      <c r="F281" s="90">
        <f>SUM(F273:F280)</f>
        <v>250</v>
      </c>
      <c r="H281" s="90">
        <f>SUM(H273:H280)</f>
        <v>0</v>
      </c>
      <c r="J281" s="90">
        <f>SUM(J273:J280)</f>
        <v>250</v>
      </c>
      <c r="K281" s="137"/>
      <c r="M281" s="90">
        <f>SUM(M273:M280)</f>
        <v>62.5</v>
      </c>
      <c r="O281" s="90">
        <f>SUM(O273:O280)</f>
        <v>0</v>
      </c>
      <c r="Q281" s="91">
        <f>SUM(Q273:Q280)</f>
        <v>62.5</v>
      </c>
      <c r="S281" s="90">
        <f>SUM(S273:S280)</f>
        <v>0</v>
      </c>
    </row>
    <row r="282" spans="1:19" x14ac:dyDescent="0.35">
      <c r="F282" s="92"/>
      <c r="H282" s="92"/>
      <c r="J282" s="92"/>
      <c r="K282" s="92"/>
      <c r="M282" s="92"/>
      <c r="O282" s="92"/>
      <c r="Q282" s="95"/>
      <c r="S282" s="92"/>
    </row>
    <row r="283" spans="1:19" ht="13.9" x14ac:dyDescent="0.35">
      <c r="D283" s="82" t="s">
        <v>1087</v>
      </c>
      <c r="F283" s="92"/>
      <c r="H283" s="92"/>
      <c r="J283" s="92"/>
      <c r="K283" s="92"/>
      <c r="M283" s="92"/>
      <c r="O283" s="92"/>
      <c r="Q283" s="95"/>
      <c r="S283" s="92"/>
    </row>
    <row r="284" spans="1:19" x14ac:dyDescent="0.35">
      <c r="A284" s="83" t="s">
        <v>552</v>
      </c>
      <c r="D284" s="83" t="s">
        <v>1088</v>
      </c>
      <c r="F284" s="89">
        <v>6975</v>
      </c>
      <c r="H284" s="89">
        <v>6975</v>
      </c>
      <c r="J284" s="89">
        <v>6975</v>
      </c>
      <c r="K284" s="89"/>
      <c r="M284" s="80">
        <f>+J284/12*3</f>
        <v>1743.75</v>
      </c>
      <c r="O284" s="84">
        <v>1744</v>
      </c>
      <c r="Q284" s="87">
        <f>+M284-O284</f>
        <v>-0.25</v>
      </c>
      <c r="S284" s="84">
        <v>1744</v>
      </c>
    </row>
    <row r="285" spans="1:19" ht="13.9" x14ac:dyDescent="0.4">
      <c r="B285" s="83"/>
      <c r="D285" s="88" t="s">
        <v>1042</v>
      </c>
      <c r="F285" s="93">
        <f>+F284</f>
        <v>6975</v>
      </c>
      <c r="H285" s="93">
        <f>+H284</f>
        <v>6975</v>
      </c>
      <c r="J285" s="93">
        <f>+J284</f>
        <v>6975</v>
      </c>
      <c r="K285" s="138"/>
      <c r="M285" s="93">
        <f>+M284</f>
        <v>1743.75</v>
      </c>
      <c r="O285" s="93">
        <f>+O284</f>
        <v>1744</v>
      </c>
      <c r="Q285" s="94">
        <f>+Q284</f>
        <v>-0.25</v>
      </c>
      <c r="S285" s="93">
        <f>+S284</f>
        <v>1744</v>
      </c>
    </row>
    <row r="286" spans="1:19" x14ac:dyDescent="0.35">
      <c r="F286" s="92"/>
      <c r="H286" s="92"/>
      <c r="J286" s="92"/>
      <c r="K286" s="92"/>
      <c r="M286" s="92"/>
      <c r="O286" s="92"/>
      <c r="Q286" s="95"/>
      <c r="S286" s="92"/>
    </row>
    <row r="287" spans="1:19" ht="13.9" x14ac:dyDescent="0.35">
      <c r="D287" s="82" t="s">
        <v>1089</v>
      </c>
      <c r="F287" s="92"/>
      <c r="H287" s="92"/>
      <c r="J287" s="92"/>
      <c r="K287" s="92"/>
      <c r="M287" s="92"/>
      <c r="O287" s="92"/>
      <c r="Q287" s="95"/>
      <c r="S287" s="92"/>
    </row>
    <row r="288" spans="1:19" x14ac:dyDescent="0.35">
      <c r="A288" s="83" t="s">
        <v>553</v>
      </c>
      <c r="D288" s="83" t="s">
        <v>1088</v>
      </c>
      <c r="F288" s="89">
        <v>6975</v>
      </c>
      <c r="H288" s="89">
        <v>6975</v>
      </c>
      <c r="J288" s="89">
        <v>6975</v>
      </c>
      <c r="K288" s="89"/>
      <c r="M288" s="80">
        <f>+J288/12*3</f>
        <v>1743.75</v>
      </c>
      <c r="O288" s="84">
        <v>1744</v>
      </c>
      <c r="Q288" s="87">
        <f>+M288-O288</f>
        <v>-0.25</v>
      </c>
      <c r="S288" s="84">
        <v>0</v>
      </c>
    </row>
    <row r="289" spans="1:19" ht="13.9" x14ac:dyDescent="0.4">
      <c r="B289" s="83"/>
      <c r="D289" s="88" t="s">
        <v>1042</v>
      </c>
      <c r="F289" s="93">
        <f>+F288</f>
        <v>6975</v>
      </c>
      <c r="H289" s="93">
        <f>+H288</f>
        <v>6975</v>
      </c>
      <c r="J289" s="93">
        <f>+J288</f>
        <v>6975</v>
      </c>
      <c r="K289" s="138"/>
      <c r="M289" s="93">
        <f>+M288</f>
        <v>1743.75</v>
      </c>
      <c r="O289" s="93">
        <f>+O288</f>
        <v>1744</v>
      </c>
      <c r="Q289" s="94">
        <f>+Q288</f>
        <v>-0.25</v>
      </c>
      <c r="S289" s="93">
        <f>+S288</f>
        <v>0</v>
      </c>
    </row>
    <row r="290" spans="1:19" x14ac:dyDescent="0.35">
      <c r="F290" s="92"/>
      <c r="H290" s="92"/>
      <c r="J290" s="92"/>
      <c r="K290" s="92"/>
      <c r="M290" s="92"/>
      <c r="O290" s="92"/>
      <c r="Q290" s="95"/>
      <c r="S290" s="92"/>
    </row>
    <row r="291" spans="1:19" ht="13.9" x14ac:dyDescent="0.35">
      <c r="D291" s="82" t="s">
        <v>1090</v>
      </c>
      <c r="F291" s="92"/>
      <c r="H291" s="92"/>
      <c r="J291" s="92"/>
      <c r="K291" s="92"/>
      <c r="M291" s="92"/>
      <c r="O291" s="92"/>
      <c r="Q291" s="95"/>
      <c r="S291" s="92"/>
    </row>
    <row r="292" spans="1:19" x14ac:dyDescent="0.35">
      <c r="A292" s="83" t="s">
        <v>554</v>
      </c>
      <c r="D292" s="83" t="s">
        <v>1088</v>
      </c>
      <c r="F292" s="89">
        <v>23500</v>
      </c>
      <c r="H292" s="89">
        <v>23500</v>
      </c>
      <c r="J292" s="89">
        <v>5000</v>
      </c>
      <c r="K292" s="89"/>
      <c r="M292" s="80">
        <f>+J292/12*3</f>
        <v>1250</v>
      </c>
      <c r="O292" s="84">
        <v>1250</v>
      </c>
      <c r="Q292" s="87">
        <f>+M292-O292</f>
        <v>0</v>
      </c>
      <c r="S292" s="84">
        <v>7833</v>
      </c>
    </row>
    <row r="293" spans="1:19" ht="13.9" x14ac:dyDescent="0.4">
      <c r="B293" s="83"/>
      <c r="D293" s="88" t="s">
        <v>1042</v>
      </c>
      <c r="F293" s="93">
        <f>+F292</f>
        <v>23500</v>
      </c>
      <c r="H293" s="93">
        <f>+H292</f>
        <v>23500</v>
      </c>
      <c r="J293" s="93">
        <f>+J292</f>
        <v>5000</v>
      </c>
      <c r="K293" s="138"/>
      <c r="M293" s="93">
        <f>+M292</f>
        <v>1250</v>
      </c>
      <c r="O293" s="93">
        <f>+O292</f>
        <v>1250</v>
      </c>
      <c r="Q293" s="94">
        <f>+Q292</f>
        <v>0</v>
      </c>
      <c r="S293" s="93">
        <f>+S292</f>
        <v>7833</v>
      </c>
    </row>
    <row r="294" spans="1:19" x14ac:dyDescent="0.35">
      <c r="F294" s="92"/>
      <c r="H294" s="92"/>
      <c r="J294" s="92"/>
      <c r="K294" s="92"/>
      <c r="M294" s="92"/>
      <c r="O294" s="92"/>
      <c r="Q294" s="95"/>
      <c r="S294" s="92"/>
    </row>
    <row r="295" spans="1:19" ht="13.9" x14ac:dyDescent="0.35">
      <c r="D295" s="82" t="s">
        <v>1091</v>
      </c>
      <c r="F295" s="92"/>
      <c r="H295" s="92"/>
      <c r="J295" s="92"/>
      <c r="K295" s="92"/>
      <c r="M295" s="92"/>
      <c r="O295" s="92"/>
      <c r="Q295" s="95"/>
      <c r="S295" s="92"/>
    </row>
    <row r="296" spans="1:19" x14ac:dyDescent="0.35">
      <c r="D296" s="83" t="s">
        <v>1088</v>
      </c>
      <c r="F296" s="89"/>
      <c r="H296" s="89"/>
      <c r="J296" s="89">
        <v>11100</v>
      </c>
      <c r="K296" s="89"/>
      <c r="M296" s="80">
        <f>+J296/12*3</f>
        <v>2775</v>
      </c>
      <c r="O296" s="84">
        <v>0</v>
      </c>
      <c r="Q296" s="87">
        <f>+M296-O296</f>
        <v>2775</v>
      </c>
      <c r="S296" s="84">
        <v>0</v>
      </c>
    </row>
    <row r="297" spans="1:19" ht="13.9" x14ac:dyDescent="0.4">
      <c r="B297" s="83"/>
      <c r="D297" s="88" t="s">
        <v>1042</v>
      </c>
      <c r="F297" s="93">
        <f>+F296</f>
        <v>0</v>
      </c>
      <c r="H297" s="93">
        <f>+H296</f>
        <v>0</v>
      </c>
      <c r="J297" s="93">
        <f>+J296</f>
        <v>11100</v>
      </c>
      <c r="K297" s="138"/>
      <c r="M297" s="93">
        <f>+M296</f>
        <v>2775</v>
      </c>
      <c r="O297" s="93">
        <f>+O296</f>
        <v>0</v>
      </c>
      <c r="Q297" s="94">
        <f>+Q296</f>
        <v>2775</v>
      </c>
      <c r="S297" s="93">
        <f>+S296</f>
        <v>0</v>
      </c>
    </row>
    <row r="298" spans="1:19" x14ac:dyDescent="0.35">
      <c r="F298" s="92"/>
      <c r="H298" s="92"/>
      <c r="J298" s="92"/>
      <c r="K298" s="92"/>
      <c r="M298" s="92"/>
      <c r="O298" s="92"/>
      <c r="Q298" s="95"/>
      <c r="S298" s="92"/>
    </row>
    <row r="299" spans="1:19" ht="13.9" x14ac:dyDescent="0.35">
      <c r="D299" s="82" t="s">
        <v>1092</v>
      </c>
      <c r="F299" s="92"/>
      <c r="H299" s="92"/>
      <c r="J299" s="92"/>
      <c r="K299" s="92"/>
      <c r="M299" s="92"/>
      <c r="O299" s="92"/>
      <c r="Q299" s="95"/>
      <c r="S299" s="92"/>
    </row>
    <row r="300" spans="1:19" hidden="1" x14ac:dyDescent="0.35">
      <c r="A300" s="83" t="s">
        <v>555</v>
      </c>
      <c r="D300" s="83" t="s">
        <v>556</v>
      </c>
      <c r="F300" s="89">
        <v>0</v>
      </c>
      <c r="H300" s="89">
        <v>0</v>
      </c>
      <c r="J300" s="89">
        <v>0</v>
      </c>
      <c r="K300" s="89"/>
      <c r="M300" s="89">
        <v>0</v>
      </c>
      <c r="O300" s="89">
        <v>0</v>
      </c>
      <c r="Q300" s="103">
        <v>0</v>
      </c>
      <c r="S300" s="89">
        <v>0</v>
      </c>
    </row>
    <row r="301" spans="1:19" x14ac:dyDescent="0.35">
      <c r="A301" s="83" t="s">
        <v>557</v>
      </c>
      <c r="D301" s="83" t="s">
        <v>2633</v>
      </c>
      <c r="F301" s="89">
        <v>300</v>
      </c>
      <c r="H301" s="89">
        <v>0</v>
      </c>
      <c r="J301" s="89">
        <v>465</v>
      </c>
      <c r="K301" s="89"/>
      <c r="M301" s="80">
        <f>+J301/12*3</f>
        <v>116.25</v>
      </c>
      <c r="O301" s="84">
        <v>0</v>
      </c>
      <c r="Q301" s="87">
        <f>+M301-O301</f>
        <v>116.25</v>
      </c>
      <c r="S301" s="84">
        <v>0</v>
      </c>
    </row>
    <row r="302" spans="1:19" ht="13.9" x14ac:dyDescent="0.4">
      <c r="B302" s="83"/>
      <c r="D302" s="88" t="s">
        <v>1042</v>
      </c>
      <c r="F302" s="90">
        <f>SUM(F300:F301)</f>
        <v>300</v>
      </c>
      <c r="H302" s="90">
        <f>SUM(H300:H301)</f>
        <v>0</v>
      </c>
      <c r="J302" s="90">
        <f>SUM(J300:J301)</f>
        <v>465</v>
      </c>
      <c r="K302" s="137"/>
      <c r="M302" s="90">
        <f>SUM(M300:M301)</f>
        <v>116.25</v>
      </c>
      <c r="O302" s="90">
        <f>SUM(O300:O301)</f>
        <v>0</v>
      </c>
      <c r="Q302" s="91">
        <f>SUM(Q300:Q301)</f>
        <v>116.25</v>
      </c>
      <c r="S302" s="90">
        <f>SUM(S300:S301)</f>
        <v>0</v>
      </c>
    </row>
    <row r="303" spans="1:19" x14ac:dyDescent="0.35">
      <c r="F303" s="92"/>
      <c r="H303" s="92"/>
      <c r="J303" s="92"/>
      <c r="K303" s="92"/>
      <c r="M303" s="92"/>
      <c r="O303" s="92"/>
      <c r="Q303" s="95"/>
      <c r="S303" s="92"/>
    </row>
    <row r="304" spans="1:19" ht="13.9" x14ac:dyDescent="0.35">
      <c r="D304" s="82" t="s">
        <v>1093</v>
      </c>
      <c r="F304" s="96">
        <f>+F302+F293+F289+F285+F281+F270+F260+F252+F229+F224+F214+F187+F297</f>
        <v>424756</v>
      </c>
      <c r="H304" s="96">
        <f>+H302+H293+H289+H285+H281+H270+H260+H252+H229+H224+H214+H187+H297</f>
        <v>410707</v>
      </c>
      <c r="J304" s="96">
        <f>+J302+J293+J289+J285+J281+J270+J260+J252+J229+J224+J214+J187+J297</f>
        <v>419642.27400649316</v>
      </c>
      <c r="K304" s="137"/>
      <c r="M304" s="96">
        <f>+M302+M293+M289+M285+M281+M270+M260+M252+M229+M224+M214+M187+M297</f>
        <v>104910.56850162329</v>
      </c>
      <c r="O304" s="96">
        <f>+O302+O293+O289+O285+O281+O270+O260+O252+O229+O224+O214+O187+O297</f>
        <v>123182</v>
      </c>
      <c r="Q304" s="97">
        <f>+Q302+Q293+Q289+Q285+Q281+Q270+Q260+Q252+Q229+Q224+Q214+Q187+Q297</f>
        <v>-12768.431498376698</v>
      </c>
      <c r="S304" s="96">
        <f>+S302+S293+S289+S285+S281+S270+S260+S252+S229+S224+S214+S187+S297</f>
        <v>84310</v>
      </c>
    </row>
    <row r="305" spans="1:20" x14ac:dyDescent="0.35">
      <c r="F305" s="92"/>
      <c r="H305" s="92"/>
      <c r="J305" s="92"/>
      <c r="K305" s="92"/>
      <c r="M305" s="92"/>
      <c r="O305" s="92"/>
      <c r="Q305" s="95"/>
      <c r="S305" s="92"/>
    </row>
    <row r="306" spans="1:20" ht="13.9" x14ac:dyDescent="0.35">
      <c r="D306" s="116" t="s">
        <v>1094</v>
      </c>
      <c r="F306" s="92"/>
      <c r="H306" s="92"/>
      <c r="J306" s="92"/>
      <c r="K306" s="92"/>
      <c r="M306" s="92"/>
      <c r="O306" s="92"/>
      <c r="Q306" s="95"/>
      <c r="S306" s="95"/>
    </row>
    <row r="307" spans="1:20" ht="13.9" x14ac:dyDescent="0.35">
      <c r="D307" s="82" t="s">
        <v>1094</v>
      </c>
      <c r="F307" s="92"/>
      <c r="H307" s="92"/>
      <c r="J307" s="92"/>
      <c r="K307" s="92"/>
      <c r="M307" s="92"/>
      <c r="O307" s="92"/>
      <c r="Q307" s="95"/>
      <c r="S307" s="95"/>
    </row>
    <row r="308" spans="1:20" hidden="1" x14ac:dyDescent="0.35">
      <c r="A308" s="83" t="s">
        <v>558</v>
      </c>
      <c r="D308" s="83" t="s">
        <v>559</v>
      </c>
      <c r="F308" s="89">
        <v>0</v>
      </c>
      <c r="H308" s="89">
        <v>0</v>
      </c>
      <c r="J308" s="89">
        <v>0</v>
      </c>
      <c r="K308" s="89"/>
      <c r="M308" s="89">
        <v>0</v>
      </c>
      <c r="O308" s="89">
        <v>0</v>
      </c>
      <c r="Q308" s="103">
        <v>0</v>
      </c>
      <c r="S308" s="103">
        <v>0</v>
      </c>
    </row>
    <row r="309" spans="1:20" hidden="1" x14ac:dyDescent="0.35">
      <c r="A309" s="83" t="s">
        <v>560</v>
      </c>
      <c r="D309" s="83" t="s">
        <v>561</v>
      </c>
      <c r="F309" s="89">
        <v>0</v>
      </c>
      <c r="H309" s="89">
        <v>0</v>
      </c>
      <c r="J309" s="89">
        <v>0</v>
      </c>
      <c r="K309" s="89"/>
      <c r="M309" s="89">
        <v>0</v>
      </c>
      <c r="O309" s="89">
        <v>0</v>
      </c>
      <c r="Q309" s="103">
        <v>0</v>
      </c>
      <c r="S309" s="103">
        <v>0</v>
      </c>
    </row>
    <row r="310" spans="1:20" hidden="1" x14ac:dyDescent="0.35">
      <c r="A310" s="83" t="s">
        <v>562</v>
      </c>
      <c r="D310" s="83" t="s">
        <v>563</v>
      </c>
      <c r="F310" s="89">
        <v>0</v>
      </c>
      <c r="H310" s="89">
        <v>0</v>
      </c>
      <c r="J310" s="89">
        <v>0</v>
      </c>
      <c r="K310" s="89"/>
      <c r="M310" s="89">
        <v>0</v>
      </c>
      <c r="O310" s="89">
        <v>0</v>
      </c>
      <c r="Q310" s="103">
        <v>0</v>
      </c>
      <c r="S310" s="103">
        <v>0</v>
      </c>
    </row>
    <row r="311" spans="1:20" hidden="1" x14ac:dyDescent="0.35">
      <c r="A311" s="83" t="s">
        <v>564</v>
      </c>
      <c r="D311" s="83" t="s">
        <v>565</v>
      </c>
      <c r="F311" s="89">
        <v>0</v>
      </c>
      <c r="H311" s="89">
        <v>0</v>
      </c>
      <c r="J311" s="89">
        <v>0</v>
      </c>
      <c r="K311" s="89"/>
      <c r="M311" s="89">
        <v>0</v>
      </c>
      <c r="O311" s="89">
        <v>0</v>
      </c>
      <c r="Q311" s="103">
        <v>0</v>
      </c>
      <c r="S311" s="103">
        <v>0</v>
      </c>
    </row>
    <row r="312" spans="1:20" x14ac:dyDescent="0.35">
      <c r="A312" s="83" t="s">
        <v>566</v>
      </c>
      <c r="D312" s="83" t="s">
        <v>2633</v>
      </c>
      <c r="F312" s="89">
        <v>3200</v>
      </c>
      <c r="H312" s="89">
        <v>890</v>
      </c>
      <c r="J312" s="89">
        <v>3200</v>
      </c>
      <c r="K312" s="89"/>
      <c r="M312" s="80">
        <f>+J312/12*3</f>
        <v>800</v>
      </c>
      <c r="O312" s="84">
        <v>0</v>
      </c>
      <c r="Q312" s="87">
        <f>+M312-O312</f>
        <v>800</v>
      </c>
      <c r="S312" s="84">
        <v>500</v>
      </c>
    </row>
    <row r="313" spans="1:20" x14ac:dyDescent="0.35">
      <c r="A313" s="83" t="s">
        <v>567</v>
      </c>
      <c r="D313" s="83" t="s">
        <v>2658</v>
      </c>
      <c r="F313" s="84">
        <v>0</v>
      </c>
      <c r="H313" s="84">
        <v>0</v>
      </c>
      <c r="J313" s="84">
        <v>0</v>
      </c>
      <c r="K313" s="84"/>
      <c r="M313" s="80">
        <f>+J313/12*3</f>
        <v>0</v>
      </c>
      <c r="O313" s="84">
        <v>0</v>
      </c>
      <c r="Q313" s="87">
        <f>+M313-O313</f>
        <v>0</v>
      </c>
      <c r="S313" s="84">
        <v>0</v>
      </c>
    </row>
    <row r="314" spans="1:20" ht="13.9" x14ac:dyDescent="0.4">
      <c r="B314" s="83"/>
      <c r="D314" s="88" t="s">
        <v>1042</v>
      </c>
      <c r="F314" s="93">
        <f>SUM(F308:F313)</f>
        <v>3200</v>
      </c>
      <c r="H314" s="93">
        <f>SUM(H308:H313)</f>
        <v>890</v>
      </c>
      <c r="J314" s="93">
        <f>SUM(J308:J313)</f>
        <v>3200</v>
      </c>
      <c r="K314" s="138"/>
      <c r="M314" s="93">
        <f>SUM(M308:M313)</f>
        <v>800</v>
      </c>
      <c r="O314" s="93">
        <f>SUM(O308:O313)</f>
        <v>0</v>
      </c>
      <c r="Q314" s="94">
        <f>SUM(Q308:Q313)</f>
        <v>800</v>
      </c>
      <c r="S314" s="93">
        <f>SUM(S308:S313)</f>
        <v>500</v>
      </c>
    </row>
    <row r="315" spans="1:20" x14ac:dyDescent="0.35">
      <c r="F315" s="92"/>
      <c r="H315" s="92"/>
      <c r="J315" s="92"/>
      <c r="K315" s="92"/>
      <c r="M315" s="92"/>
      <c r="O315" s="92"/>
      <c r="Q315" s="95"/>
      <c r="S315" s="92"/>
    </row>
    <row r="316" spans="1:20" ht="13.9" x14ac:dyDescent="0.4">
      <c r="D316" s="88" t="s">
        <v>1095</v>
      </c>
      <c r="F316" s="98"/>
      <c r="H316" s="98">
        <v>500</v>
      </c>
      <c r="J316" s="98"/>
      <c r="K316" s="92"/>
      <c r="M316" s="80">
        <f>+J316/12*3</f>
        <v>0</v>
      </c>
      <c r="O316" s="84">
        <v>260</v>
      </c>
      <c r="Q316" s="87">
        <f>+M316-O316</f>
        <v>-260</v>
      </c>
      <c r="S316" s="84">
        <v>0</v>
      </c>
    </row>
    <row r="317" spans="1:20" ht="13.9" x14ac:dyDescent="0.4">
      <c r="B317" s="100"/>
      <c r="D317" s="88" t="s">
        <v>1042</v>
      </c>
      <c r="F317" s="101">
        <f>+F316</f>
        <v>0</v>
      </c>
      <c r="H317" s="101">
        <f>+H316</f>
        <v>500</v>
      </c>
      <c r="J317" s="101">
        <f>+J316</f>
        <v>0</v>
      </c>
      <c r="K317" s="92"/>
      <c r="M317" s="101">
        <f>+M316</f>
        <v>0</v>
      </c>
      <c r="O317" s="101">
        <f>+O316</f>
        <v>260</v>
      </c>
      <c r="Q317" s="102">
        <f>+Q316</f>
        <v>-260</v>
      </c>
      <c r="S317" s="101">
        <f>+S316</f>
        <v>0</v>
      </c>
    </row>
    <row r="318" spans="1:20" x14ac:dyDescent="0.35">
      <c r="F318" s="92"/>
      <c r="H318" s="92"/>
      <c r="J318" s="92"/>
      <c r="K318" s="92"/>
      <c r="M318" s="92"/>
      <c r="O318" s="92"/>
      <c r="Q318" s="95"/>
      <c r="S318" s="92"/>
    </row>
    <row r="319" spans="1:20" ht="13.9" x14ac:dyDescent="0.35">
      <c r="D319" s="82" t="s">
        <v>1096</v>
      </c>
      <c r="F319" s="92"/>
      <c r="H319" s="92"/>
      <c r="J319" s="92"/>
      <c r="K319" s="92"/>
      <c r="M319" s="92"/>
      <c r="O319" s="92"/>
      <c r="Q319" s="95"/>
      <c r="S319" s="92"/>
    </row>
    <row r="320" spans="1:20" ht="13.9" x14ac:dyDescent="0.35">
      <c r="A320" s="82"/>
      <c r="D320" s="83" t="s">
        <v>568</v>
      </c>
      <c r="F320" s="84">
        <v>0</v>
      </c>
      <c r="H320" s="92">
        <v>-19824</v>
      </c>
      <c r="J320" s="84">
        <v>0</v>
      </c>
      <c r="K320" s="84"/>
      <c r="M320" s="80">
        <f>+J320/12*3</f>
        <v>0</v>
      </c>
      <c r="O320" s="87">
        <v>-15579</v>
      </c>
      <c r="P320" s="80"/>
      <c r="Q320" s="87">
        <f t="shared" ref="Q320:Q327" si="18">+M320-O320</f>
        <v>15579</v>
      </c>
      <c r="R320" s="80"/>
      <c r="S320" s="87">
        <v>-6596</v>
      </c>
      <c r="T320" s="80"/>
    </row>
    <row r="321" spans="1:20" x14ac:dyDescent="0.35">
      <c r="A321" s="83" t="s">
        <v>569</v>
      </c>
      <c r="D321" s="83" t="s">
        <v>2617</v>
      </c>
      <c r="F321" s="84">
        <v>0</v>
      </c>
      <c r="H321" s="84">
        <v>0</v>
      </c>
      <c r="J321" s="84">
        <v>0</v>
      </c>
      <c r="K321" s="84"/>
      <c r="M321" s="80">
        <f t="shared" ref="M321:M327" si="19">+J321/12*3</f>
        <v>0</v>
      </c>
      <c r="O321" s="87">
        <v>0</v>
      </c>
      <c r="P321" s="80"/>
      <c r="Q321" s="87">
        <f t="shared" si="18"/>
        <v>0</v>
      </c>
      <c r="R321" s="80"/>
      <c r="S321" s="87">
        <v>0</v>
      </c>
      <c r="T321" s="80"/>
    </row>
    <row r="322" spans="1:20" x14ac:dyDescent="0.35">
      <c r="A322" s="83" t="s">
        <v>570</v>
      </c>
      <c r="D322" s="83" t="s">
        <v>2619</v>
      </c>
      <c r="F322" s="84">
        <v>0</v>
      </c>
      <c r="H322" s="84">
        <v>0</v>
      </c>
      <c r="J322" s="84">
        <v>0</v>
      </c>
      <c r="K322" s="84"/>
      <c r="M322" s="80">
        <f t="shared" si="19"/>
        <v>0</v>
      </c>
      <c r="O322" s="87">
        <v>0</v>
      </c>
      <c r="P322" s="80"/>
      <c r="Q322" s="87">
        <f t="shared" si="18"/>
        <v>0</v>
      </c>
      <c r="R322" s="80"/>
      <c r="S322" s="87">
        <v>0</v>
      </c>
      <c r="T322" s="80"/>
    </row>
    <row r="323" spans="1:20" x14ac:dyDescent="0.35">
      <c r="A323" s="83" t="s">
        <v>571</v>
      </c>
      <c r="D323" s="83" t="s">
        <v>2675</v>
      </c>
      <c r="F323" s="84">
        <v>0</v>
      </c>
      <c r="H323" s="89">
        <v>1561</v>
      </c>
      <c r="J323" s="84">
        <v>0</v>
      </c>
      <c r="K323" s="84"/>
      <c r="M323" s="80">
        <f t="shared" si="19"/>
        <v>0</v>
      </c>
      <c r="O323" s="87">
        <v>373</v>
      </c>
      <c r="P323" s="80"/>
      <c r="Q323" s="87">
        <f t="shared" si="18"/>
        <v>-373</v>
      </c>
      <c r="R323" s="80"/>
      <c r="S323" s="87">
        <v>61</v>
      </c>
      <c r="T323" s="80"/>
    </row>
    <row r="324" spans="1:20" x14ac:dyDescent="0.35">
      <c r="A324" s="83" t="s">
        <v>572</v>
      </c>
      <c r="D324" s="83" t="s">
        <v>2706</v>
      </c>
      <c r="F324" s="84">
        <v>0</v>
      </c>
      <c r="H324" s="89">
        <v>0</v>
      </c>
      <c r="J324" s="84">
        <v>0</v>
      </c>
      <c r="K324" s="84"/>
      <c r="M324" s="80">
        <f t="shared" si="19"/>
        <v>0</v>
      </c>
      <c r="O324" s="87">
        <v>0</v>
      </c>
      <c r="P324" s="80"/>
      <c r="Q324" s="87">
        <f t="shared" si="18"/>
        <v>0</v>
      </c>
      <c r="R324" s="80"/>
      <c r="S324" s="87">
        <v>0</v>
      </c>
      <c r="T324" s="80"/>
    </row>
    <row r="325" spans="1:20" x14ac:dyDescent="0.35">
      <c r="A325" s="83" t="s">
        <v>573</v>
      </c>
      <c r="D325" s="83" t="s">
        <v>2653</v>
      </c>
      <c r="F325" s="84">
        <v>0</v>
      </c>
      <c r="H325" s="89">
        <v>4228</v>
      </c>
      <c r="J325" s="89">
        <v>2000</v>
      </c>
      <c r="K325" s="89"/>
      <c r="M325" s="80">
        <f t="shared" si="19"/>
        <v>500</v>
      </c>
      <c r="O325" s="87">
        <v>618</v>
      </c>
      <c r="P325" s="80"/>
      <c r="Q325" s="87">
        <f t="shared" si="18"/>
        <v>-118</v>
      </c>
      <c r="R325" s="80"/>
      <c r="S325" s="87">
        <v>1396</v>
      </c>
      <c r="T325" s="80"/>
    </row>
    <row r="326" spans="1:20" x14ac:dyDescent="0.35">
      <c r="A326" s="83" t="s">
        <v>574</v>
      </c>
      <c r="D326" s="83" t="s">
        <v>2655</v>
      </c>
      <c r="F326" s="84">
        <v>0</v>
      </c>
      <c r="H326" s="89">
        <v>8178</v>
      </c>
      <c r="J326" s="89">
        <v>2000</v>
      </c>
      <c r="K326" s="89"/>
      <c r="M326" s="80">
        <f t="shared" si="19"/>
        <v>500</v>
      </c>
      <c r="O326" s="87">
        <v>16139</v>
      </c>
      <c r="P326" s="80"/>
      <c r="Q326" s="87">
        <f t="shared" si="18"/>
        <v>-15639</v>
      </c>
      <c r="R326" s="80"/>
      <c r="S326" s="87">
        <v>6953</v>
      </c>
      <c r="T326" s="80"/>
    </row>
    <row r="327" spans="1:20" x14ac:dyDescent="0.35">
      <c r="A327" s="83" t="s">
        <v>575</v>
      </c>
      <c r="D327" s="83" t="s">
        <v>2633</v>
      </c>
      <c r="F327" s="89">
        <v>4500</v>
      </c>
      <c r="H327" s="89">
        <v>3984</v>
      </c>
      <c r="J327" s="89">
        <v>4000</v>
      </c>
      <c r="K327" s="89"/>
      <c r="M327" s="80">
        <f t="shared" si="19"/>
        <v>1000</v>
      </c>
      <c r="O327" s="87">
        <v>9</v>
      </c>
      <c r="P327" s="80"/>
      <c r="Q327" s="87">
        <f t="shared" si="18"/>
        <v>991</v>
      </c>
      <c r="R327" s="80"/>
      <c r="S327" s="87">
        <v>3616</v>
      </c>
      <c r="T327" s="80"/>
    </row>
    <row r="328" spans="1:20" hidden="1" x14ac:dyDescent="0.35">
      <c r="A328" s="83" t="s">
        <v>576</v>
      </c>
      <c r="D328" s="83" t="s">
        <v>577</v>
      </c>
      <c r="F328" s="89">
        <v>0</v>
      </c>
      <c r="H328" s="89">
        <v>0</v>
      </c>
      <c r="J328" s="89">
        <v>0</v>
      </c>
      <c r="K328" s="89"/>
      <c r="M328" s="89">
        <v>0</v>
      </c>
      <c r="O328" s="103">
        <v>0</v>
      </c>
      <c r="P328" s="80"/>
      <c r="Q328" s="103">
        <v>0</v>
      </c>
      <c r="R328" s="80"/>
      <c r="S328" s="103">
        <v>0</v>
      </c>
      <c r="T328" s="80"/>
    </row>
    <row r="329" spans="1:20" ht="13.9" x14ac:dyDescent="0.4">
      <c r="B329" s="83"/>
      <c r="D329" s="88" t="s">
        <v>1042</v>
      </c>
      <c r="F329" s="93">
        <f>SUM(F320:F328)</f>
        <v>4500</v>
      </c>
      <c r="H329" s="93">
        <f>SUM(H320:H328)</f>
        <v>-1873</v>
      </c>
      <c r="J329" s="93">
        <f>SUM(J320:J328)</f>
        <v>8000</v>
      </c>
      <c r="K329" s="138"/>
      <c r="M329" s="93">
        <f>SUM(M320:M328)</f>
        <v>2000</v>
      </c>
      <c r="O329" s="94">
        <f>SUM(O320:O328)</f>
        <v>1560</v>
      </c>
      <c r="P329" s="80"/>
      <c r="Q329" s="94">
        <f>SUM(Q320:Q328)</f>
        <v>440</v>
      </c>
      <c r="R329" s="80"/>
      <c r="S329" s="94">
        <f>SUM(S320:S328)</f>
        <v>5430</v>
      </c>
      <c r="T329" s="80"/>
    </row>
    <row r="330" spans="1:20" x14ac:dyDescent="0.35">
      <c r="F330" s="92"/>
      <c r="H330" s="92"/>
      <c r="J330" s="92"/>
      <c r="K330" s="92"/>
      <c r="M330" s="92"/>
      <c r="O330" s="95"/>
      <c r="P330" s="80"/>
      <c r="Q330" s="95"/>
      <c r="R330" s="80"/>
      <c r="S330" s="95"/>
      <c r="T330" s="80"/>
    </row>
    <row r="331" spans="1:20" ht="13.9" x14ac:dyDescent="0.35">
      <c r="D331" s="82" t="s">
        <v>1388</v>
      </c>
      <c r="F331" s="92"/>
      <c r="H331" s="92"/>
      <c r="J331" s="92"/>
      <c r="K331" s="92"/>
      <c r="M331" s="92"/>
      <c r="O331" s="95"/>
      <c r="P331" s="80"/>
      <c r="Q331" s="95"/>
      <c r="R331" s="80"/>
      <c r="S331" s="95"/>
      <c r="T331" s="80"/>
    </row>
    <row r="332" spans="1:20" ht="13.9" x14ac:dyDescent="0.35">
      <c r="A332" s="82"/>
      <c r="D332" s="79" t="s">
        <v>578</v>
      </c>
      <c r="F332" s="84">
        <v>0</v>
      </c>
      <c r="H332" s="92">
        <v>-14571</v>
      </c>
      <c r="J332" s="92">
        <v>-10000</v>
      </c>
      <c r="K332" s="92"/>
      <c r="M332" s="80">
        <f t="shared" ref="M332:M337" si="20">+J332/12*3</f>
        <v>-2500</v>
      </c>
      <c r="O332" s="87">
        <v>0</v>
      </c>
      <c r="P332" s="80"/>
      <c r="Q332" s="87">
        <f t="shared" ref="Q332:Q337" si="21">+M332-O332</f>
        <v>-2500</v>
      </c>
      <c r="R332" s="80"/>
      <c r="S332" s="87">
        <v>0</v>
      </c>
      <c r="T332" s="80"/>
    </row>
    <row r="333" spans="1:20" ht="13.9" x14ac:dyDescent="0.35">
      <c r="A333" s="82"/>
      <c r="D333" s="79" t="s">
        <v>2662</v>
      </c>
      <c r="F333" s="84">
        <v>0</v>
      </c>
      <c r="H333" s="92">
        <v>-1795</v>
      </c>
      <c r="J333" s="92">
        <v>-2000</v>
      </c>
      <c r="K333" s="92"/>
      <c r="M333" s="80">
        <f t="shared" si="20"/>
        <v>-500</v>
      </c>
      <c r="O333" s="87">
        <v>0</v>
      </c>
      <c r="P333" s="80"/>
      <c r="Q333" s="87">
        <f t="shared" si="21"/>
        <v>-500</v>
      </c>
      <c r="R333" s="80"/>
      <c r="S333" s="87">
        <v>0</v>
      </c>
      <c r="T333" s="80"/>
    </row>
    <row r="334" spans="1:20" ht="13.9" x14ac:dyDescent="0.35">
      <c r="A334" s="82"/>
      <c r="D334" s="79" t="s">
        <v>579</v>
      </c>
      <c r="F334" s="92">
        <v>-26400</v>
      </c>
      <c r="H334" s="92">
        <v>-98608</v>
      </c>
      <c r="J334" s="92">
        <v>-26400</v>
      </c>
      <c r="K334" s="92"/>
      <c r="M334" s="80">
        <f t="shared" si="20"/>
        <v>-6600</v>
      </c>
      <c r="O334" s="87">
        <v>0</v>
      </c>
      <c r="P334" s="80"/>
      <c r="Q334" s="87">
        <f t="shared" si="21"/>
        <v>-6600</v>
      </c>
      <c r="R334" s="80"/>
      <c r="S334" s="87">
        <v>0</v>
      </c>
      <c r="T334" s="80"/>
    </row>
    <row r="335" spans="1:20" ht="13.9" x14ac:dyDescent="0.35">
      <c r="A335" s="82"/>
      <c r="D335" s="79" t="s">
        <v>580</v>
      </c>
      <c r="F335" s="84">
        <v>0</v>
      </c>
      <c r="H335" s="92">
        <v>-2536</v>
      </c>
      <c r="J335" s="92">
        <v>-20000</v>
      </c>
      <c r="K335" s="92"/>
      <c r="M335" s="80">
        <f t="shared" si="20"/>
        <v>-5000</v>
      </c>
      <c r="O335" s="87">
        <v>0</v>
      </c>
      <c r="P335" s="80"/>
      <c r="Q335" s="87">
        <f t="shared" si="21"/>
        <v>-5000</v>
      </c>
      <c r="R335" s="80"/>
      <c r="S335" s="87">
        <v>-1671</v>
      </c>
      <c r="T335" s="80"/>
    </row>
    <row r="336" spans="1:20" ht="13.9" x14ac:dyDescent="0.35">
      <c r="A336" s="82"/>
      <c r="D336" s="79" t="s">
        <v>581</v>
      </c>
      <c r="F336" s="84">
        <v>0</v>
      </c>
      <c r="H336" s="92">
        <v>-947</v>
      </c>
      <c r="J336" s="92">
        <v>-1000</v>
      </c>
      <c r="K336" s="92"/>
      <c r="M336" s="80">
        <f t="shared" si="20"/>
        <v>-250</v>
      </c>
      <c r="O336" s="87">
        <v>0</v>
      </c>
      <c r="P336" s="80"/>
      <c r="Q336" s="87">
        <f t="shared" si="21"/>
        <v>-250</v>
      </c>
      <c r="R336" s="80"/>
      <c r="S336" s="87">
        <v>0</v>
      </c>
      <c r="T336" s="80"/>
    </row>
    <row r="337" spans="1:20" ht="13.9" x14ac:dyDescent="0.35">
      <c r="A337" s="82"/>
      <c r="D337" s="79" t="s">
        <v>582</v>
      </c>
      <c r="F337" s="84">
        <v>0</v>
      </c>
      <c r="H337" s="98">
        <v>-11312</v>
      </c>
      <c r="J337" s="98"/>
      <c r="K337" s="92"/>
      <c r="M337" s="80">
        <f t="shared" si="20"/>
        <v>0</v>
      </c>
      <c r="O337" s="87">
        <v>0</v>
      </c>
      <c r="P337" s="80"/>
      <c r="Q337" s="87">
        <f t="shared" si="21"/>
        <v>0</v>
      </c>
      <c r="R337" s="80"/>
      <c r="S337" s="87">
        <v>0</v>
      </c>
      <c r="T337" s="80"/>
    </row>
    <row r="338" spans="1:20" ht="13.9" x14ac:dyDescent="0.4">
      <c r="A338" s="82"/>
      <c r="B338" s="83"/>
      <c r="D338" s="88" t="s">
        <v>1042</v>
      </c>
      <c r="F338" s="101">
        <f>SUM(F332:F337)</f>
        <v>-26400</v>
      </c>
      <c r="H338" s="101">
        <f>SUM(H332:H337)</f>
        <v>-129769</v>
      </c>
      <c r="J338" s="101">
        <f>SUM(J332:J337)</f>
        <v>-59400</v>
      </c>
      <c r="K338" s="92"/>
      <c r="M338" s="101">
        <f>SUM(M332:M337)</f>
        <v>-14850</v>
      </c>
      <c r="O338" s="102">
        <f>SUM(O332:O337)</f>
        <v>0</v>
      </c>
      <c r="P338" s="80"/>
      <c r="Q338" s="102">
        <f>SUM(Q332:Q337)</f>
        <v>-14850</v>
      </c>
      <c r="R338" s="80"/>
      <c r="S338" s="102">
        <f>SUM(S332:S337)</f>
        <v>-1671</v>
      </c>
      <c r="T338" s="80"/>
    </row>
    <row r="339" spans="1:20" ht="13.9" x14ac:dyDescent="0.35">
      <c r="A339" s="82"/>
      <c r="F339" s="92"/>
      <c r="H339" s="92"/>
      <c r="J339" s="92"/>
      <c r="K339" s="92"/>
      <c r="M339" s="92"/>
      <c r="O339" s="95"/>
      <c r="P339" s="80"/>
      <c r="Q339" s="95"/>
      <c r="R339" s="80"/>
      <c r="S339" s="95"/>
      <c r="T339" s="80"/>
    </row>
    <row r="340" spans="1:20" ht="13.9" x14ac:dyDescent="0.35">
      <c r="D340" s="82" t="s">
        <v>1097</v>
      </c>
      <c r="F340" s="92"/>
      <c r="H340" s="92"/>
      <c r="J340" s="92"/>
      <c r="K340" s="92"/>
      <c r="M340" s="92"/>
      <c r="O340" s="95"/>
      <c r="P340" s="80"/>
      <c r="Q340" s="95"/>
      <c r="R340" s="80"/>
      <c r="S340" s="95"/>
      <c r="T340" s="80"/>
    </row>
    <row r="341" spans="1:20" x14ac:dyDescent="0.35">
      <c r="A341" s="83" t="s">
        <v>583</v>
      </c>
      <c r="D341" s="83" t="s">
        <v>1060</v>
      </c>
      <c r="F341" s="89">
        <v>12000</v>
      </c>
      <c r="H341" s="89">
        <v>12000</v>
      </c>
      <c r="J341" s="89">
        <v>12000</v>
      </c>
      <c r="K341" s="89"/>
      <c r="M341" s="80">
        <f>+J341/12*3</f>
        <v>3000</v>
      </c>
      <c r="O341" s="87">
        <v>3000</v>
      </c>
      <c r="P341" s="80"/>
      <c r="Q341" s="87">
        <f t="shared" ref="Q341:Q354" si="22">+M341-O341</f>
        <v>0</v>
      </c>
      <c r="R341" s="80"/>
      <c r="S341" s="87">
        <v>3000</v>
      </c>
      <c r="T341" s="80"/>
    </row>
    <row r="342" spans="1:20" x14ac:dyDescent="0.35">
      <c r="A342" s="83" t="s">
        <v>584</v>
      </c>
      <c r="D342" s="83" t="s">
        <v>1403</v>
      </c>
      <c r="F342" s="84">
        <v>0</v>
      </c>
      <c r="H342" s="89">
        <v>2</v>
      </c>
      <c r="J342" s="84">
        <v>0</v>
      </c>
      <c r="K342" s="84"/>
      <c r="M342" s="80">
        <f t="shared" ref="M342:M354" si="23">+J342/12*3</f>
        <v>0</v>
      </c>
      <c r="O342" s="87">
        <v>0</v>
      </c>
      <c r="P342" s="80"/>
      <c r="Q342" s="87">
        <f t="shared" si="22"/>
        <v>0</v>
      </c>
      <c r="R342" s="80"/>
      <c r="S342" s="87">
        <v>0</v>
      </c>
      <c r="T342" s="80"/>
    </row>
    <row r="343" spans="1:20" x14ac:dyDescent="0.35">
      <c r="A343" s="83" t="s">
        <v>585</v>
      </c>
      <c r="D343" s="83" t="s">
        <v>2617</v>
      </c>
      <c r="F343" s="89">
        <v>200</v>
      </c>
      <c r="H343" s="89">
        <v>72</v>
      </c>
      <c r="J343" s="89">
        <v>200</v>
      </c>
      <c r="K343" s="89"/>
      <c r="M343" s="80">
        <f t="shared" si="23"/>
        <v>50</v>
      </c>
      <c r="O343" s="87">
        <v>0</v>
      </c>
      <c r="P343" s="80"/>
      <c r="Q343" s="87">
        <f t="shared" si="22"/>
        <v>50</v>
      </c>
      <c r="R343" s="80"/>
      <c r="S343" s="87">
        <v>0</v>
      </c>
      <c r="T343" s="80"/>
    </row>
    <row r="344" spans="1:20" x14ac:dyDescent="0.35">
      <c r="A344" s="83" t="s">
        <v>586</v>
      </c>
      <c r="D344" s="83" t="s">
        <v>2647</v>
      </c>
      <c r="F344" s="89">
        <v>800</v>
      </c>
      <c r="H344" s="89">
        <v>165</v>
      </c>
      <c r="J344" s="89">
        <v>200</v>
      </c>
      <c r="K344" s="89"/>
      <c r="M344" s="80">
        <f t="shared" si="23"/>
        <v>50</v>
      </c>
      <c r="O344" s="87">
        <v>31</v>
      </c>
      <c r="P344" s="80"/>
      <c r="Q344" s="87">
        <f t="shared" si="22"/>
        <v>19</v>
      </c>
      <c r="R344" s="80"/>
      <c r="S344" s="87">
        <v>0</v>
      </c>
      <c r="T344" s="80"/>
    </row>
    <row r="345" spans="1:20" x14ac:dyDescent="0.35">
      <c r="A345" s="83" t="s">
        <v>587</v>
      </c>
      <c r="D345" s="83" t="s">
        <v>2623</v>
      </c>
      <c r="F345" s="89">
        <v>100</v>
      </c>
      <c r="H345" s="89">
        <v>187</v>
      </c>
      <c r="J345" s="89">
        <v>200</v>
      </c>
      <c r="K345" s="89"/>
      <c r="M345" s="80">
        <f t="shared" si="23"/>
        <v>50</v>
      </c>
      <c r="O345" s="87">
        <v>122</v>
      </c>
      <c r="P345" s="80"/>
      <c r="Q345" s="87">
        <f t="shared" si="22"/>
        <v>-72</v>
      </c>
      <c r="R345" s="80"/>
      <c r="S345" s="87">
        <v>0</v>
      </c>
      <c r="T345" s="80"/>
    </row>
    <row r="346" spans="1:20" x14ac:dyDescent="0.35">
      <c r="A346" s="83" t="s">
        <v>588</v>
      </c>
      <c r="D346" s="83" t="s">
        <v>2625</v>
      </c>
      <c r="F346" s="89">
        <v>500</v>
      </c>
      <c r="H346" s="89">
        <v>55</v>
      </c>
      <c r="J346" s="89">
        <v>500</v>
      </c>
      <c r="K346" s="89"/>
      <c r="M346" s="80">
        <f t="shared" si="23"/>
        <v>125</v>
      </c>
      <c r="O346" s="87">
        <v>0</v>
      </c>
      <c r="P346" s="80"/>
      <c r="Q346" s="87">
        <f t="shared" si="22"/>
        <v>125</v>
      </c>
      <c r="R346" s="80"/>
      <c r="S346" s="87">
        <v>0</v>
      </c>
      <c r="T346" s="80"/>
    </row>
    <row r="347" spans="1:20" x14ac:dyDescent="0.35">
      <c r="A347" s="83" t="s">
        <v>589</v>
      </c>
      <c r="D347" s="83" t="s">
        <v>590</v>
      </c>
      <c r="F347" s="84">
        <v>0</v>
      </c>
      <c r="H347" s="89">
        <v>5134</v>
      </c>
      <c r="J347" s="89">
        <v>5000</v>
      </c>
      <c r="K347" s="89"/>
      <c r="M347" s="80">
        <f t="shared" si="23"/>
        <v>1250</v>
      </c>
      <c r="O347" s="87">
        <v>553</v>
      </c>
      <c r="P347" s="80"/>
      <c r="Q347" s="87">
        <f t="shared" si="22"/>
        <v>697</v>
      </c>
      <c r="R347" s="80"/>
      <c r="S347" s="87">
        <v>500</v>
      </c>
      <c r="T347" s="80"/>
    </row>
    <row r="348" spans="1:20" x14ac:dyDescent="0.35">
      <c r="A348" s="83" t="s">
        <v>591</v>
      </c>
      <c r="D348" s="83" t="s">
        <v>2653</v>
      </c>
      <c r="F348" s="89">
        <v>2000</v>
      </c>
      <c r="H348" s="89">
        <v>2486</v>
      </c>
      <c r="J348" s="89">
        <v>2000</v>
      </c>
      <c r="K348" s="89"/>
      <c r="M348" s="80">
        <f t="shared" si="23"/>
        <v>500</v>
      </c>
      <c r="O348" s="87">
        <v>694</v>
      </c>
      <c r="P348" s="80"/>
      <c r="Q348" s="87">
        <f t="shared" si="22"/>
        <v>-194</v>
      </c>
      <c r="R348" s="80"/>
      <c r="S348" s="87">
        <v>242</v>
      </c>
      <c r="T348" s="80"/>
    </row>
    <row r="349" spans="1:20" x14ac:dyDescent="0.35">
      <c r="A349" s="83" t="s">
        <v>592</v>
      </c>
      <c r="D349" s="83" t="s">
        <v>2655</v>
      </c>
      <c r="F349" s="89">
        <v>2000</v>
      </c>
      <c r="H349" s="89">
        <v>9507</v>
      </c>
      <c r="J349" s="89">
        <v>7500</v>
      </c>
      <c r="K349" s="89"/>
      <c r="M349" s="80">
        <f t="shared" si="23"/>
        <v>1875</v>
      </c>
      <c r="O349" s="87">
        <v>3706</v>
      </c>
      <c r="P349" s="80"/>
      <c r="Q349" s="87">
        <f t="shared" si="22"/>
        <v>-1831</v>
      </c>
      <c r="R349" s="80"/>
      <c r="S349" s="87">
        <v>6750</v>
      </c>
      <c r="T349" s="80"/>
    </row>
    <row r="350" spans="1:20" x14ac:dyDescent="0.35">
      <c r="A350" s="83" t="s">
        <v>593</v>
      </c>
      <c r="D350" s="83" t="s">
        <v>1098</v>
      </c>
      <c r="F350" s="89">
        <v>1000</v>
      </c>
      <c r="H350" s="84">
        <v>0</v>
      </c>
      <c r="J350" s="89">
        <v>1000</v>
      </c>
      <c r="K350" s="89"/>
      <c r="M350" s="80">
        <f t="shared" si="23"/>
        <v>250</v>
      </c>
      <c r="O350" s="87">
        <v>0</v>
      </c>
      <c r="P350" s="80"/>
      <c r="Q350" s="87">
        <f t="shared" si="22"/>
        <v>250</v>
      </c>
      <c r="R350" s="80"/>
      <c r="S350" s="87">
        <v>0</v>
      </c>
      <c r="T350" s="80"/>
    </row>
    <row r="351" spans="1:20" x14ac:dyDescent="0.35">
      <c r="A351" s="83" t="s">
        <v>594</v>
      </c>
      <c r="D351" s="83" t="s">
        <v>1099</v>
      </c>
      <c r="F351" s="89">
        <v>2500</v>
      </c>
      <c r="H351" s="84">
        <v>0</v>
      </c>
      <c r="J351" s="89">
        <v>2500</v>
      </c>
      <c r="K351" s="89"/>
      <c r="M351" s="80">
        <f t="shared" si="23"/>
        <v>625</v>
      </c>
      <c r="O351" s="87">
        <v>75</v>
      </c>
      <c r="P351" s="80"/>
      <c r="Q351" s="87">
        <f t="shared" si="22"/>
        <v>550</v>
      </c>
      <c r="R351" s="80"/>
      <c r="S351" s="87">
        <v>0</v>
      </c>
      <c r="T351" s="80"/>
    </row>
    <row r="352" spans="1:20" x14ac:dyDescent="0.35">
      <c r="A352" s="83" t="s">
        <v>595</v>
      </c>
      <c r="D352" s="83" t="s">
        <v>1100</v>
      </c>
      <c r="F352" s="89">
        <v>4000</v>
      </c>
      <c r="H352" s="89">
        <v>2418</v>
      </c>
      <c r="J352" s="89">
        <v>2500</v>
      </c>
      <c r="K352" s="89"/>
      <c r="M352" s="80">
        <f t="shared" si="23"/>
        <v>625</v>
      </c>
      <c r="O352" s="87">
        <v>0</v>
      </c>
      <c r="P352" s="80"/>
      <c r="Q352" s="87">
        <f t="shared" si="22"/>
        <v>625</v>
      </c>
      <c r="R352" s="80"/>
      <c r="S352" s="87">
        <v>0</v>
      </c>
      <c r="T352" s="80"/>
    </row>
    <row r="353" spans="1:20" x14ac:dyDescent="0.35">
      <c r="A353" s="83" t="s">
        <v>596</v>
      </c>
      <c r="D353" s="83" t="s">
        <v>1101</v>
      </c>
      <c r="F353" s="89">
        <v>5500</v>
      </c>
      <c r="H353" s="84">
        <v>0</v>
      </c>
      <c r="J353" s="89">
        <v>2500</v>
      </c>
      <c r="K353" s="89"/>
      <c r="M353" s="80">
        <f t="shared" si="23"/>
        <v>625</v>
      </c>
      <c r="O353" s="87">
        <v>3281</v>
      </c>
      <c r="P353" s="80"/>
      <c r="Q353" s="87">
        <f t="shared" si="22"/>
        <v>-2656</v>
      </c>
      <c r="R353" s="80"/>
      <c r="S353" s="87">
        <v>0</v>
      </c>
      <c r="T353" s="80"/>
    </row>
    <row r="354" spans="1:20" x14ac:dyDescent="0.35">
      <c r="A354" s="83" t="s">
        <v>597</v>
      </c>
      <c r="D354" s="83" t="s">
        <v>2658</v>
      </c>
      <c r="F354" s="89">
        <v>3000</v>
      </c>
      <c r="H354" s="84">
        <v>0</v>
      </c>
      <c r="J354" s="89">
        <v>2500</v>
      </c>
      <c r="K354" s="89"/>
      <c r="M354" s="80">
        <f t="shared" si="23"/>
        <v>625</v>
      </c>
      <c r="O354" s="87">
        <v>0</v>
      </c>
      <c r="P354" s="80"/>
      <c r="Q354" s="87">
        <f t="shared" si="22"/>
        <v>625</v>
      </c>
      <c r="R354" s="80"/>
      <c r="S354" s="87">
        <v>0</v>
      </c>
      <c r="T354" s="80"/>
    </row>
    <row r="355" spans="1:20" ht="13.9" x14ac:dyDescent="0.4">
      <c r="B355" s="83"/>
      <c r="D355" s="88" t="s">
        <v>1042</v>
      </c>
      <c r="F355" s="93">
        <f>SUM(F341:F354)</f>
        <v>33600</v>
      </c>
      <c r="H355" s="93">
        <f>SUM(H341:H354)</f>
        <v>32026</v>
      </c>
      <c r="J355" s="93">
        <f>SUM(J341:J354)</f>
        <v>38600</v>
      </c>
      <c r="K355" s="138"/>
      <c r="M355" s="93">
        <f>SUM(M341:M354)</f>
        <v>9650</v>
      </c>
      <c r="O355" s="94">
        <f>SUM(O341:O354)</f>
        <v>11462</v>
      </c>
      <c r="P355" s="80"/>
      <c r="Q355" s="94">
        <f>SUM(Q341:Q354)</f>
        <v>-1812</v>
      </c>
      <c r="R355" s="80"/>
      <c r="S355" s="94">
        <f>SUM(S341:S354)</f>
        <v>10492</v>
      </c>
      <c r="T355" s="80"/>
    </row>
    <row r="356" spans="1:20" x14ac:dyDescent="0.35">
      <c r="F356" s="92"/>
      <c r="H356" s="92"/>
      <c r="J356" s="92"/>
      <c r="K356" s="92"/>
      <c r="M356" s="92"/>
      <c r="O356" s="95"/>
      <c r="P356" s="80"/>
      <c r="Q356" s="95"/>
      <c r="R356" s="80"/>
      <c r="S356" s="95"/>
      <c r="T356" s="80"/>
    </row>
    <row r="357" spans="1:20" ht="13.9" x14ac:dyDescent="0.35">
      <c r="D357" s="82" t="s">
        <v>1102</v>
      </c>
      <c r="F357" s="92"/>
      <c r="H357" s="92"/>
      <c r="J357" s="92"/>
      <c r="K357" s="92"/>
      <c r="M357" s="92"/>
      <c r="O357" s="95"/>
      <c r="P357" s="80"/>
      <c r="Q357" s="95"/>
      <c r="R357" s="80"/>
      <c r="S357" s="95"/>
      <c r="T357" s="80"/>
    </row>
    <row r="358" spans="1:20" x14ac:dyDescent="0.35">
      <c r="A358" s="83" t="s">
        <v>598</v>
      </c>
      <c r="D358" s="83" t="s">
        <v>1103</v>
      </c>
      <c r="F358" s="84">
        <v>0</v>
      </c>
      <c r="H358" s="84">
        <v>0</v>
      </c>
      <c r="J358" s="84">
        <v>0</v>
      </c>
      <c r="K358" s="84"/>
      <c r="M358" s="80">
        <f>+J358/12*3</f>
        <v>0</v>
      </c>
      <c r="O358" s="87">
        <v>-20</v>
      </c>
      <c r="P358" s="80"/>
      <c r="Q358" s="87">
        <f t="shared" ref="Q358:Q369" si="24">+M358-O358</f>
        <v>20</v>
      </c>
      <c r="R358" s="80"/>
      <c r="S358" s="87">
        <v>-20</v>
      </c>
      <c r="T358" s="80"/>
    </row>
    <row r="359" spans="1:20" x14ac:dyDescent="0.35">
      <c r="A359" s="83" t="s">
        <v>1245</v>
      </c>
      <c r="D359" s="83" t="s">
        <v>2617</v>
      </c>
      <c r="F359" s="89">
        <v>150</v>
      </c>
      <c r="H359" s="89">
        <v>-31</v>
      </c>
      <c r="J359" s="89">
        <v>150</v>
      </c>
      <c r="K359" s="89"/>
      <c r="M359" s="80">
        <f t="shared" ref="M359:M369" si="25">+J359/12*3</f>
        <v>37.5</v>
      </c>
      <c r="O359" s="87">
        <v>0</v>
      </c>
      <c r="P359" s="80"/>
      <c r="Q359" s="87">
        <f t="shared" si="24"/>
        <v>37.5</v>
      </c>
      <c r="R359" s="80"/>
      <c r="S359" s="87">
        <v>0</v>
      </c>
      <c r="T359" s="80"/>
    </row>
    <row r="360" spans="1:20" x14ac:dyDescent="0.35">
      <c r="A360" s="83" t="s">
        <v>1246</v>
      </c>
      <c r="D360" s="83" t="s">
        <v>2619</v>
      </c>
      <c r="F360" s="89">
        <v>150</v>
      </c>
      <c r="H360" s="84">
        <v>0</v>
      </c>
      <c r="J360" s="89">
        <v>150</v>
      </c>
      <c r="K360" s="89"/>
      <c r="M360" s="80">
        <f t="shared" si="25"/>
        <v>37.5</v>
      </c>
      <c r="O360" s="87">
        <v>0</v>
      </c>
      <c r="P360" s="80"/>
      <c r="Q360" s="87">
        <f t="shared" si="24"/>
        <v>37.5</v>
      </c>
      <c r="R360" s="80"/>
      <c r="S360" s="87">
        <v>0</v>
      </c>
      <c r="T360" s="80"/>
    </row>
    <row r="361" spans="1:20" x14ac:dyDescent="0.35">
      <c r="A361" s="83" t="s">
        <v>1247</v>
      </c>
      <c r="D361" s="83" t="s">
        <v>2623</v>
      </c>
      <c r="F361" s="89">
        <v>50</v>
      </c>
      <c r="H361" s="84">
        <v>0</v>
      </c>
      <c r="J361" s="89">
        <v>50</v>
      </c>
      <c r="K361" s="89"/>
      <c r="M361" s="80">
        <f t="shared" si="25"/>
        <v>12.5</v>
      </c>
      <c r="O361" s="87">
        <v>0</v>
      </c>
      <c r="P361" s="80"/>
      <c r="Q361" s="87">
        <f t="shared" si="24"/>
        <v>12.5</v>
      </c>
      <c r="R361" s="80"/>
      <c r="S361" s="87">
        <v>0</v>
      </c>
      <c r="T361" s="80"/>
    </row>
    <row r="362" spans="1:20" x14ac:dyDescent="0.35">
      <c r="A362" s="83" t="s">
        <v>1248</v>
      </c>
      <c r="D362" s="83" t="s">
        <v>2625</v>
      </c>
      <c r="F362" s="89">
        <v>50</v>
      </c>
      <c r="H362" s="84">
        <v>0</v>
      </c>
      <c r="J362" s="89">
        <v>50</v>
      </c>
      <c r="K362" s="89"/>
      <c r="M362" s="80">
        <f t="shared" si="25"/>
        <v>12.5</v>
      </c>
      <c r="O362" s="87">
        <v>0</v>
      </c>
      <c r="P362" s="80"/>
      <c r="Q362" s="87">
        <f t="shared" si="24"/>
        <v>12.5</v>
      </c>
      <c r="R362" s="80"/>
      <c r="S362" s="87">
        <v>0</v>
      </c>
      <c r="T362" s="80"/>
    </row>
    <row r="363" spans="1:20" x14ac:dyDescent="0.35">
      <c r="A363" s="83" t="s">
        <v>1249</v>
      </c>
      <c r="D363" s="83" t="s">
        <v>1250</v>
      </c>
      <c r="F363" s="89">
        <v>26400</v>
      </c>
      <c r="H363" s="89">
        <v>21872</v>
      </c>
      <c r="J363" s="89">
        <v>21000</v>
      </c>
      <c r="K363" s="89"/>
      <c r="M363" s="80">
        <f t="shared" si="25"/>
        <v>5250</v>
      </c>
      <c r="O363" s="87">
        <v>1720</v>
      </c>
      <c r="P363" s="80"/>
      <c r="Q363" s="87">
        <f t="shared" si="24"/>
        <v>3530</v>
      </c>
      <c r="R363" s="80"/>
      <c r="S363" s="87">
        <v>2160</v>
      </c>
      <c r="T363" s="80"/>
    </row>
    <row r="364" spans="1:20" hidden="1" x14ac:dyDescent="0.35">
      <c r="A364" s="83" t="s">
        <v>1251</v>
      </c>
      <c r="D364" s="83" t="s">
        <v>1046</v>
      </c>
      <c r="F364" s="84">
        <v>0</v>
      </c>
      <c r="H364" s="84">
        <v>0</v>
      </c>
      <c r="J364" s="84">
        <v>0</v>
      </c>
      <c r="K364" s="84"/>
      <c r="M364" s="80">
        <f t="shared" si="25"/>
        <v>0</v>
      </c>
      <c r="O364" s="87">
        <v>0</v>
      </c>
      <c r="P364" s="80"/>
      <c r="Q364" s="87">
        <f t="shared" si="24"/>
        <v>0</v>
      </c>
      <c r="R364" s="80"/>
      <c r="S364" s="87">
        <v>0</v>
      </c>
      <c r="T364" s="80"/>
    </row>
    <row r="365" spans="1:20" hidden="1" x14ac:dyDescent="0.35">
      <c r="A365" s="83" t="s">
        <v>1252</v>
      </c>
      <c r="D365" s="83" t="s">
        <v>1104</v>
      </c>
      <c r="F365" s="84">
        <v>0</v>
      </c>
      <c r="H365" s="84">
        <v>0</v>
      </c>
      <c r="J365" s="84">
        <v>0</v>
      </c>
      <c r="K365" s="84"/>
      <c r="M365" s="80">
        <f t="shared" si="25"/>
        <v>0</v>
      </c>
      <c r="O365" s="87">
        <v>0</v>
      </c>
      <c r="P365" s="80"/>
      <c r="Q365" s="87">
        <f t="shared" si="24"/>
        <v>0</v>
      </c>
      <c r="R365" s="80"/>
      <c r="S365" s="87">
        <v>0</v>
      </c>
      <c r="T365" s="80"/>
    </row>
    <row r="366" spans="1:20" x14ac:dyDescent="0.35">
      <c r="A366" s="83" t="s">
        <v>1253</v>
      </c>
      <c r="D366" s="83" t="s">
        <v>1105</v>
      </c>
      <c r="F366" s="89">
        <v>1000</v>
      </c>
      <c r="H366" s="89">
        <v>1668</v>
      </c>
      <c r="J366" s="89">
        <v>2000</v>
      </c>
      <c r="K366" s="89"/>
      <c r="M366" s="80">
        <f t="shared" si="25"/>
        <v>500</v>
      </c>
      <c r="O366" s="87">
        <v>0</v>
      </c>
      <c r="P366" s="80"/>
      <c r="Q366" s="87">
        <f t="shared" si="24"/>
        <v>500</v>
      </c>
      <c r="R366" s="80"/>
      <c r="S366" s="87">
        <v>0</v>
      </c>
      <c r="T366" s="80"/>
    </row>
    <row r="367" spans="1:20" x14ac:dyDescent="0.35">
      <c r="A367" s="83" t="s">
        <v>1254</v>
      </c>
      <c r="D367" s="83" t="s">
        <v>2653</v>
      </c>
      <c r="F367" s="84">
        <v>0</v>
      </c>
      <c r="H367" s="84">
        <v>0</v>
      </c>
      <c r="J367" s="84">
        <v>0</v>
      </c>
      <c r="K367" s="84"/>
      <c r="M367" s="80">
        <f t="shared" si="25"/>
        <v>0</v>
      </c>
      <c r="O367" s="87">
        <v>0</v>
      </c>
      <c r="P367" s="80"/>
      <c r="Q367" s="87">
        <f t="shared" si="24"/>
        <v>0</v>
      </c>
      <c r="R367" s="80"/>
      <c r="S367" s="87">
        <v>0</v>
      </c>
      <c r="T367" s="80"/>
    </row>
    <row r="368" spans="1:20" x14ac:dyDescent="0.35">
      <c r="A368" s="83" t="s">
        <v>1255</v>
      </c>
      <c r="D368" s="83" t="s">
        <v>2655</v>
      </c>
      <c r="F368" s="89">
        <v>800</v>
      </c>
      <c r="H368" s="89">
        <v>540</v>
      </c>
      <c r="J368" s="89">
        <v>800</v>
      </c>
      <c r="K368" s="89"/>
      <c r="M368" s="80">
        <f t="shared" si="25"/>
        <v>200</v>
      </c>
      <c r="O368" s="87">
        <v>0</v>
      </c>
      <c r="P368" s="80"/>
      <c r="Q368" s="87">
        <f t="shared" si="24"/>
        <v>200</v>
      </c>
      <c r="R368" s="80"/>
      <c r="S368" s="87">
        <v>0</v>
      </c>
      <c r="T368" s="80"/>
    </row>
    <row r="369" spans="1:20" x14ac:dyDescent="0.35">
      <c r="A369" s="83" t="s">
        <v>1256</v>
      </c>
      <c r="D369" s="83" t="s">
        <v>2658</v>
      </c>
      <c r="F369" s="84">
        <v>0</v>
      </c>
      <c r="H369" s="84">
        <v>0</v>
      </c>
      <c r="J369" s="84">
        <v>0</v>
      </c>
      <c r="K369" s="84"/>
      <c r="M369" s="80">
        <f t="shared" si="25"/>
        <v>0</v>
      </c>
      <c r="O369" s="87">
        <v>0</v>
      </c>
      <c r="P369" s="80"/>
      <c r="Q369" s="87">
        <f t="shared" si="24"/>
        <v>0</v>
      </c>
      <c r="R369" s="80"/>
      <c r="S369" s="87">
        <v>0</v>
      </c>
      <c r="T369" s="80"/>
    </row>
    <row r="370" spans="1:20" ht="13.9" x14ac:dyDescent="0.4">
      <c r="B370" s="83"/>
      <c r="D370" s="88" t="s">
        <v>1042</v>
      </c>
      <c r="F370" s="93">
        <f>SUM(F358:F369)</f>
        <v>28600</v>
      </c>
      <c r="H370" s="93">
        <f>SUM(H358:H369)</f>
        <v>24049</v>
      </c>
      <c r="J370" s="93">
        <f>SUM(J358:J369)</f>
        <v>24200</v>
      </c>
      <c r="K370" s="138"/>
      <c r="M370" s="93">
        <f>SUM(M358:M369)</f>
        <v>6050</v>
      </c>
      <c r="O370" s="94">
        <f>SUM(O358:O369)</f>
        <v>1700</v>
      </c>
      <c r="P370" s="80"/>
      <c r="Q370" s="94">
        <f>SUM(Q358:Q369)</f>
        <v>4350</v>
      </c>
      <c r="R370" s="80"/>
      <c r="S370" s="94">
        <f>SUM(S358:S369)</f>
        <v>2140</v>
      </c>
      <c r="T370" s="80"/>
    </row>
    <row r="371" spans="1:20" x14ac:dyDescent="0.35">
      <c r="F371" s="92"/>
      <c r="H371" s="92"/>
      <c r="J371" s="92"/>
      <c r="K371" s="92"/>
      <c r="M371" s="92"/>
      <c r="O371" s="95"/>
      <c r="P371" s="80"/>
      <c r="Q371" s="95"/>
      <c r="R371" s="80"/>
      <c r="S371" s="95"/>
      <c r="T371" s="80"/>
    </row>
    <row r="372" spans="1:20" ht="13.9" x14ac:dyDescent="0.35">
      <c r="D372" s="82" t="s">
        <v>1106</v>
      </c>
      <c r="F372" s="92"/>
      <c r="H372" s="92"/>
      <c r="J372" s="92"/>
      <c r="K372" s="92"/>
      <c r="M372" s="92"/>
      <c r="O372" s="95"/>
      <c r="P372" s="80"/>
      <c r="Q372" s="95"/>
      <c r="R372" s="80"/>
      <c r="S372" s="95"/>
      <c r="T372" s="80"/>
    </row>
    <row r="373" spans="1:20" hidden="1" x14ac:dyDescent="0.35">
      <c r="A373" s="83" t="s">
        <v>1257</v>
      </c>
      <c r="D373" s="83" t="s">
        <v>2661</v>
      </c>
      <c r="F373" s="89">
        <v>0</v>
      </c>
      <c r="H373" s="89"/>
      <c r="J373" s="89">
        <v>0</v>
      </c>
      <c r="K373" s="89"/>
      <c r="M373" s="89">
        <v>0</v>
      </c>
      <c r="O373" s="103"/>
      <c r="P373" s="80"/>
      <c r="Q373" s="103">
        <v>0</v>
      </c>
      <c r="R373" s="80"/>
      <c r="S373" s="103"/>
      <c r="T373" s="80"/>
    </row>
    <row r="374" spans="1:20" hidden="1" x14ac:dyDescent="0.35">
      <c r="A374" s="83" t="s">
        <v>1258</v>
      </c>
      <c r="D374" s="83" t="s">
        <v>1107</v>
      </c>
      <c r="F374" s="89">
        <v>0</v>
      </c>
      <c r="H374" s="89">
        <v>0</v>
      </c>
      <c r="J374" s="89">
        <v>0</v>
      </c>
      <c r="K374" s="89"/>
      <c r="M374" s="89">
        <v>0</v>
      </c>
      <c r="O374" s="103">
        <v>0</v>
      </c>
      <c r="P374" s="80"/>
      <c r="Q374" s="103">
        <v>0</v>
      </c>
      <c r="R374" s="80"/>
      <c r="S374" s="103">
        <v>0</v>
      </c>
      <c r="T374" s="80"/>
    </row>
    <row r="375" spans="1:20" x14ac:dyDescent="0.35">
      <c r="A375" s="83" t="s">
        <v>1259</v>
      </c>
      <c r="D375" s="83" t="s">
        <v>1108</v>
      </c>
      <c r="F375" s="84">
        <v>0</v>
      </c>
      <c r="H375" s="84">
        <v>0</v>
      </c>
      <c r="J375" s="84">
        <v>0</v>
      </c>
      <c r="K375" s="84"/>
      <c r="M375" s="80">
        <f>+J375/12*3</f>
        <v>0</v>
      </c>
      <c r="O375" s="103">
        <v>-27403</v>
      </c>
      <c r="P375" s="80"/>
      <c r="Q375" s="87">
        <f>+M375-O375</f>
        <v>27403</v>
      </c>
      <c r="R375" s="80"/>
      <c r="S375" s="103">
        <v>-19317</v>
      </c>
      <c r="T375" s="80"/>
    </row>
    <row r="376" spans="1:20" hidden="1" x14ac:dyDescent="0.35">
      <c r="A376" s="83" t="s">
        <v>1260</v>
      </c>
      <c r="D376" s="83" t="s">
        <v>1109</v>
      </c>
      <c r="F376" s="89">
        <v>0</v>
      </c>
      <c r="H376" s="89">
        <v>0</v>
      </c>
      <c r="J376" s="89">
        <v>0</v>
      </c>
      <c r="K376" s="89"/>
      <c r="M376" s="89">
        <v>0</v>
      </c>
      <c r="O376" s="103">
        <v>0</v>
      </c>
      <c r="P376" s="80"/>
      <c r="Q376" s="103">
        <v>0</v>
      </c>
      <c r="R376" s="80"/>
      <c r="S376" s="103">
        <v>0</v>
      </c>
      <c r="T376" s="80"/>
    </row>
    <row r="377" spans="1:20" hidden="1" x14ac:dyDescent="0.35">
      <c r="A377" s="83" t="s">
        <v>1261</v>
      </c>
      <c r="D377" s="83" t="s">
        <v>2694</v>
      </c>
      <c r="F377" s="89">
        <v>0</v>
      </c>
      <c r="H377" s="89">
        <v>0</v>
      </c>
      <c r="J377" s="89">
        <v>0</v>
      </c>
      <c r="K377" s="89"/>
      <c r="M377" s="89">
        <v>0</v>
      </c>
      <c r="O377" s="103">
        <v>0</v>
      </c>
      <c r="P377" s="80"/>
      <c r="Q377" s="103">
        <v>0</v>
      </c>
      <c r="R377" s="80"/>
      <c r="S377" s="103">
        <v>0</v>
      </c>
      <c r="T377" s="80"/>
    </row>
    <row r="378" spans="1:20" hidden="1" x14ac:dyDescent="0.35">
      <c r="A378" s="83" t="s">
        <v>1262</v>
      </c>
      <c r="D378" s="83" t="s">
        <v>1110</v>
      </c>
      <c r="F378" s="89">
        <v>0</v>
      </c>
      <c r="H378" s="89">
        <v>0</v>
      </c>
      <c r="J378" s="89">
        <v>0</v>
      </c>
      <c r="K378" s="89"/>
      <c r="M378" s="89">
        <v>0</v>
      </c>
      <c r="O378" s="103">
        <v>0</v>
      </c>
      <c r="P378" s="80"/>
      <c r="Q378" s="103">
        <v>0</v>
      </c>
      <c r="R378" s="80"/>
      <c r="S378" s="103">
        <v>0</v>
      </c>
      <c r="T378" s="80"/>
    </row>
    <row r="379" spans="1:20" hidden="1" x14ac:dyDescent="0.35">
      <c r="A379" s="83" t="s">
        <v>1263</v>
      </c>
      <c r="D379" s="83" t="s">
        <v>1111</v>
      </c>
      <c r="F379" s="89">
        <v>0</v>
      </c>
      <c r="H379" s="89">
        <v>0</v>
      </c>
      <c r="J379" s="89">
        <v>0</v>
      </c>
      <c r="K379" s="89"/>
      <c r="M379" s="89">
        <v>0</v>
      </c>
      <c r="O379" s="103">
        <v>0</v>
      </c>
      <c r="P379" s="80"/>
      <c r="Q379" s="103">
        <v>0</v>
      </c>
      <c r="R379" s="80"/>
      <c r="S379" s="103">
        <v>0</v>
      </c>
      <c r="T379" s="80"/>
    </row>
    <row r="380" spans="1:20" x14ac:dyDescent="0.35">
      <c r="A380" s="83" t="s">
        <v>1264</v>
      </c>
      <c r="D380" s="83" t="s">
        <v>1113</v>
      </c>
      <c r="F380" s="84">
        <v>0</v>
      </c>
      <c r="H380" s="89">
        <v>48800</v>
      </c>
      <c r="J380" s="89">
        <v>10000</v>
      </c>
      <c r="K380" s="89"/>
      <c r="M380" s="80">
        <f>+J380/12*3</f>
        <v>2500</v>
      </c>
      <c r="O380" s="87">
        <v>10750</v>
      </c>
      <c r="P380" s="80"/>
      <c r="Q380" s="87">
        <f t="shared" ref="Q380:Q390" si="26">+M380-O380</f>
        <v>-8250</v>
      </c>
      <c r="R380" s="80"/>
      <c r="S380" s="87">
        <v>13600</v>
      </c>
      <c r="T380" s="80"/>
    </row>
    <row r="381" spans="1:20" x14ac:dyDescent="0.35">
      <c r="A381" s="83" t="s">
        <v>1265</v>
      </c>
      <c r="D381" s="83" t="s">
        <v>1112</v>
      </c>
      <c r="F381" s="84">
        <v>0</v>
      </c>
      <c r="H381" s="89">
        <v>12453</v>
      </c>
      <c r="J381" s="89">
        <v>5000</v>
      </c>
      <c r="K381" s="89"/>
      <c r="M381" s="80">
        <f t="shared" ref="M381:M390" si="27">+J381/12*3</f>
        <v>1250</v>
      </c>
      <c r="O381" s="87">
        <v>490</v>
      </c>
      <c r="P381" s="80"/>
      <c r="Q381" s="87">
        <f t="shared" si="26"/>
        <v>760</v>
      </c>
      <c r="R381" s="80"/>
      <c r="S381" s="87">
        <v>1665</v>
      </c>
      <c r="T381" s="80"/>
    </row>
    <row r="382" spans="1:20" x14ac:dyDescent="0.35">
      <c r="A382" s="83" t="s">
        <v>1266</v>
      </c>
      <c r="D382" s="83" t="s">
        <v>1267</v>
      </c>
      <c r="F382" s="84">
        <v>0</v>
      </c>
      <c r="H382" s="89">
        <v>2878</v>
      </c>
      <c r="J382" s="89">
        <v>1000</v>
      </c>
      <c r="K382" s="89"/>
      <c r="M382" s="80">
        <f t="shared" si="27"/>
        <v>250</v>
      </c>
      <c r="O382" s="87">
        <v>420</v>
      </c>
      <c r="P382" s="80"/>
      <c r="Q382" s="87">
        <f t="shared" si="26"/>
        <v>-170</v>
      </c>
      <c r="R382" s="80"/>
      <c r="S382" s="87">
        <v>285</v>
      </c>
      <c r="T382" s="80"/>
    </row>
    <row r="383" spans="1:20" x14ac:dyDescent="0.35">
      <c r="A383" s="83" t="s">
        <v>1268</v>
      </c>
      <c r="D383" s="83" t="s">
        <v>1114</v>
      </c>
      <c r="F383" s="84">
        <v>0</v>
      </c>
      <c r="H383" s="89">
        <v>15441</v>
      </c>
      <c r="J383" s="89">
        <v>8000</v>
      </c>
      <c r="K383" s="89"/>
      <c r="M383" s="80">
        <f t="shared" si="27"/>
        <v>2000</v>
      </c>
      <c r="O383" s="87">
        <v>8480</v>
      </c>
      <c r="P383" s="80"/>
      <c r="Q383" s="87">
        <f t="shared" si="26"/>
        <v>-6480</v>
      </c>
      <c r="R383" s="80"/>
      <c r="S383" s="87">
        <v>7262</v>
      </c>
      <c r="T383" s="80"/>
    </row>
    <row r="384" spans="1:20" x14ac:dyDescent="0.35">
      <c r="A384" s="83" t="s">
        <v>1269</v>
      </c>
      <c r="D384" s="83" t="s">
        <v>1115</v>
      </c>
      <c r="F384" s="84">
        <v>0</v>
      </c>
      <c r="H384" s="89">
        <v>17123</v>
      </c>
      <c r="J384" s="89">
        <v>5000</v>
      </c>
      <c r="K384" s="89"/>
      <c r="M384" s="80">
        <f t="shared" si="27"/>
        <v>1250</v>
      </c>
      <c r="O384" s="87">
        <v>313</v>
      </c>
      <c r="P384" s="80"/>
      <c r="Q384" s="87">
        <f t="shared" si="26"/>
        <v>937</v>
      </c>
      <c r="R384" s="80"/>
      <c r="S384" s="87">
        <v>775</v>
      </c>
      <c r="T384" s="80"/>
    </row>
    <row r="385" spans="1:20" x14ac:dyDescent="0.35">
      <c r="A385" s="83" t="s">
        <v>1270</v>
      </c>
      <c r="D385" s="83" t="s">
        <v>1116</v>
      </c>
      <c r="F385" s="84">
        <v>0</v>
      </c>
      <c r="H385" s="89">
        <v>6000</v>
      </c>
      <c r="J385" s="89">
        <v>3000</v>
      </c>
      <c r="K385" s="89"/>
      <c r="M385" s="80">
        <f t="shared" si="27"/>
        <v>750</v>
      </c>
      <c r="O385" s="87">
        <v>0</v>
      </c>
      <c r="P385" s="80"/>
      <c r="Q385" s="87">
        <f t="shared" si="26"/>
        <v>750</v>
      </c>
      <c r="R385" s="80"/>
      <c r="S385" s="87">
        <v>0</v>
      </c>
      <c r="T385" s="80"/>
    </row>
    <row r="386" spans="1:20" x14ac:dyDescent="0.35">
      <c r="A386" s="83" t="s">
        <v>1271</v>
      </c>
      <c r="D386" s="83" t="s">
        <v>1117</v>
      </c>
      <c r="F386" s="84">
        <v>0</v>
      </c>
      <c r="H386" s="89">
        <v>150</v>
      </c>
      <c r="J386" s="89">
        <v>500</v>
      </c>
      <c r="K386" s="89"/>
      <c r="M386" s="80">
        <f t="shared" si="27"/>
        <v>125</v>
      </c>
      <c r="O386" s="87">
        <v>0</v>
      </c>
      <c r="P386" s="80"/>
      <c r="Q386" s="87">
        <f t="shared" si="26"/>
        <v>125</v>
      </c>
      <c r="R386" s="80"/>
      <c r="S386" s="87">
        <v>150</v>
      </c>
      <c r="T386" s="80"/>
    </row>
    <row r="387" spans="1:20" x14ac:dyDescent="0.35">
      <c r="A387" s="83" t="s">
        <v>1272</v>
      </c>
      <c r="D387" s="83" t="s">
        <v>1273</v>
      </c>
      <c r="F387" s="84">
        <v>0</v>
      </c>
      <c r="H387" s="89">
        <v>4500</v>
      </c>
      <c r="J387" s="89">
        <v>3000</v>
      </c>
      <c r="K387" s="89"/>
      <c r="M387" s="80">
        <f t="shared" si="27"/>
        <v>750</v>
      </c>
      <c r="O387" s="87">
        <v>0</v>
      </c>
      <c r="P387" s="80"/>
      <c r="Q387" s="87">
        <f t="shared" si="26"/>
        <v>750</v>
      </c>
      <c r="R387" s="80"/>
      <c r="S387" s="87">
        <v>0</v>
      </c>
      <c r="T387" s="80"/>
    </row>
    <row r="388" spans="1:20" x14ac:dyDescent="0.35">
      <c r="A388" s="83" t="s">
        <v>1274</v>
      </c>
      <c r="D388" s="83" t="s">
        <v>1118</v>
      </c>
      <c r="F388" s="84">
        <v>0</v>
      </c>
      <c r="H388" s="89">
        <v>1950</v>
      </c>
      <c r="J388" s="89">
        <v>1500</v>
      </c>
      <c r="K388" s="89"/>
      <c r="M388" s="80">
        <f t="shared" si="27"/>
        <v>375</v>
      </c>
      <c r="O388" s="87">
        <v>0</v>
      </c>
      <c r="P388" s="80"/>
      <c r="Q388" s="87">
        <f t="shared" si="26"/>
        <v>375</v>
      </c>
      <c r="R388" s="80"/>
      <c r="S388" s="87">
        <v>0</v>
      </c>
      <c r="T388" s="80"/>
    </row>
    <row r="389" spans="1:20" x14ac:dyDescent="0.35">
      <c r="A389" s="83" t="s">
        <v>1275</v>
      </c>
      <c r="D389" s="83" t="s">
        <v>1119</v>
      </c>
      <c r="F389" s="84">
        <v>0</v>
      </c>
      <c r="H389" s="84">
        <v>0</v>
      </c>
      <c r="J389" s="84">
        <v>0</v>
      </c>
      <c r="K389" s="84"/>
      <c r="M389" s="80">
        <f t="shared" si="27"/>
        <v>0</v>
      </c>
      <c r="O389" s="87">
        <v>0</v>
      </c>
      <c r="P389" s="80"/>
      <c r="Q389" s="87">
        <f t="shared" si="26"/>
        <v>0</v>
      </c>
      <c r="R389" s="80"/>
      <c r="S389" s="87">
        <v>0</v>
      </c>
      <c r="T389" s="80"/>
    </row>
    <row r="390" spans="1:20" x14ac:dyDescent="0.35">
      <c r="A390" s="83" t="s">
        <v>1276</v>
      </c>
      <c r="D390" s="83" t="s">
        <v>2658</v>
      </c>
      <c r="F390" s="84">
        <v>0</v>
      </c>
      <c r="H390" s="89">
        <v>200</v>
      </c>
      <c r="J390" s="84">
        <v>0</v>
      </c>
      <c r="K390" s="84"/>
      <c r="M390" s="80">
        <f t="shared" si="27"/>
        <v>0</v>
      </c>
      <c r="O390" s="87">
        <v>0</v>
      </c>
      <c r="P390" s="80"/>
      <c r="Q390" s="87">
        <f t="shared" si="26"/>
        <v>0</v>
      </c>
      <c r="R390" s="80"/>
      <c r="S390" s="87">
        <v>0</v>
      </c>
      <c r="T390" s="80"/>
    </row>
    <row r="391" spans="1:20" ht="13.9" x14ac:dyDescent="0.4">
      <c r="B391" s="83"/>
      <c r="D391" s="88" t="s">
        <v>1042</v>
      </c>
      <c r="F391" s="93">
        <f>SUM(F373:F390)</f>
        <v>0</v>
      </c>
      <c r="H391" s="93">
        <f>SUM(H373:H390)</f>
        <v>109495</v>
      </c>
      <c r="J391" s="93">
        <f>SUM(J373:J390)</f>
        <v>37000</v>
      </c>
      <c r="K391" s="138"/>
      <c r="M391" s="93">
        <f>SUM(M373:M390)</f>
        <v>9250</v>
      </c>
      <c r="O391" s="94">
        <f>SUM(O373:O390)</f>
        <v>-6950</v>
      </c>
      <c r="P391" s="80"/>
      <c r="Q391" s="94">
        <f>SUM(Q373:Q390)</f>
        <v>16200</v>
      </c>
      <c r="R391" s="80"/>
      <c r="S391" s="94">
        <f>SUM(S373:S390)</f>
        <v>4420</v>
      </c>
      <c r="T391" s="80"/>
    </row>
    <row r="392" spans="1:20" x14ac:dyDescent="0.35">
      <c r="F392" s="92"/>
      <c r="H392" s="92"/>
      <c r="J392" s="92"/>
      <c r="K392" s="92"/>
      <c r="M392" s="92"/>
      <c r="O392" s="95"/>
      <c r="P392" s="80"/>
      <c r="Q392" s="95"/>
      <c r="R392" s="80"/>
      <c r="S392" s="95"/>
      <c r="T392" s="80"/>
    </row>
    <row r="393" spans="1:20" ht="13.9" x14ac:dyDescent="0.4">
      <c r="D393" s="82" t="s">
        <v>1277</v>
      </c>
      <c r="E393" s="88"/>
      <c r="F393" s="96">
        <f>+F391+F370+F355+F338</f>
        <v>35800</v>
      </c>
      <c r="G393" s="88"/>
      <c r="H393" s="96">
        <f>+H391+H370+H355+H338</f>
        <v>35801</v>
      </c>
      <c r="I393" s="88"/>
      <c r="J393" s="96">
        <f>+J391+J370+J355+J338</f>
        <v>40400</v>
      </c>
      <c r="K393" s="137"/>
      <c r="L393" s="88"/>
      <c r="M393" s="96">
        <f>+M391+M370+M355+M338</f>
        <v>10100</v>
      </c>
      <c r="N393" s="88"/>
      <c r="O393" s="97">
        <f>+O391+O370+O355+O338</f>
        <v>6212</v>
      </c>
      <c r="P393" s="114"/>
      <c r="Q393" s="97">
        <f>+Q391+Q370+Q355+Q338</f>
        <v>3888</v>
      </c>
      <c r="R393" s="114"/>
      <c r="S393" s="97">
        <f>+S391+S370+S355+S338</f>
        <v>15381</v>
      </c>
      <c r="T393" s="114"/>
    </row>
    <row r="394" spans="1:20" x14ac:dyDescent="0.35">
      <c r="F394" s="92"/>
      <c r="H394" s="92"/>
      <c r="J394" s="92"/>
      <c r="K394" s="92"/>
      <c r="M394" s="92"/>
      <c r="O394" s="95"/>
      <c r="P394" s="80"/>
      <c r="Q394" s="95"/>
      <c r="R394" s="80"/>
      <c r="S394" s="95"/>
      <c r="T394" s="80"/>
    </row>
    <row r="395" spans="1:20" ht="13.9" x14ac:dyDescent="0.35">
      <c r="D395" s="81" t="s">
        <v>1120</v>
      </c>
      <c r="F395" s="92"/>
      <c r="H395" s="92"/>
      <c r="J395" s="92"/>
      <c r="K395" s="92"/>
      <c r="M395" s="92"/>
      <c r="O395" s="95"/>
      <c r="P395" s="80"/>
      <c r="Q395" s="95"/>
      <c r="R395" s="80"/>
      <c r="S395" s="95"/>
      <c r="T395" s="80"/>
    </row>
    <row r="396" spans="1:20" ht="13.9" x14ac:dyDescent="0.35">
      <c r="D396" s="82" t="s">
        <v>1121</v>
      </c>
      <c r="F396" s="92"/>
      <c r="H396" s="92"/>
      <c r="J396" s="92"/>
      <c r="K396" s="92"/>
      <c r="M396" s="92"/>
      <c r="O396" s="95"/>
      <c r="P396" s="80"/>
      <c r="Q396" s="95"/>
      <c r="R396" s="80"/>
      <c r="S396" s="95"/>
      <c r="T396" s="80"/>
    </row>
    <row r="397" spans="1:20" x14ac:dyDescent="0.35">
      <c r="A397" s="83" t="s">
        <v>1278</v>
      </c>
      <c r="D397" s="83" t="s">
        <v>1122</v>
      </c>
      <c r="F397" s="89">
        <v>72829</v>
      </c>
      <c r="H397" s="89">
        <v>72829</v>
      </c>
      <c r="J397" s="89">
        <f>98990-25000</f>
        <v>73990</v>
      </c>
      <c r="K397" s="89"/>
      <c r="M397" s="80">
        <f>+J397/12*3</f>
        <v>18497.5</v>
      </c>
      <c r="O397" s="87">
        <v>18498</v>
      </c>
      <c r="P397" s="80"/>
      <c r="Q397" s="87">
        <f t="shared" ref="Q397:Q413" si="28">+M397-O397</f>
        <v>-0.5</v>
      </c>
      <c r="R397" s="80"/>
      <c r="S397" s="87">
        <v>15173</v>
      </c>
      <c r="T397" s="80"/>
    </row>
    <row r="398" spans="1:20" x14ac:dyDescent="0.35">
      <c r="A398" s="83" t="s">
        <v>1279</v>
      </c>
      <c r="D398" s="83" t="s">
        <v>1123</v>
      </c>
      <c r="F398" s="89">
        <v>25200</v>
      </c>
      <c r="H398" s="89">
        <v>25725</v>
      </c>
      <c r="J398" s="89">
        <v>26920</v>
      </c>
      <c r="K398" s="89"/>
      <c r="M398" s="80">
        <f t="shared" ref="M398:M413" si="29">+J398/12*3</f>
        <v>6730</v>
      </c>
      <c r="O398" s="87">
        <v>6730</v>
      </c>
      <c r="P398" s="80"/>
      <c r="Q398" s="87">
        <f t="shared" si="28"/>
        <v>0</v>
      </c>
      <c r="R398" s="80"/>
      <c r="S398" s="87">
        <v>6431</v>
      </c>
      <c r="T398" s="80"/>
    </row>
    <row r="399" spans="1:20" x14ac:dyDescent="0.35">
      <c r="A399" s="83" t="s">
        <v>1280</v>
      </c>
      <c r="D399" s="83" t="s">
        <v>2666</v>
      </c>
      <c r="F399" s="89">
        <f>+F398*7.65/100</f>
        <v>1927.8</v>
      </c>
      <c r="H399" s="89">
        <f>+H398*7.65/100</f>
        <v>1967.9625000000001</v>
      </c>
      <c r="J399" s="89">
        <f>+J398*7.65/100</f>
        <v>2059.38</v>
      </c>
      <c r="K399" s="89"/>
      <c r="M399" s="80">
        <f t="shared" si="29"/>
        <v>514.84500000000003</v>
      </c>
      <c r="O399" s="87">
        <v>515</v>
      </c>
      <c r="P399" s="80"/>
      <c r="Q399" s="87">
        <f t="shared" si="28"/>
        <v>-0.15499999999997272</v>
      </c>
      <c r="R399" s="80"/>
      <c r="S399" s="87">
        <v>492</v>
      </c>
      <c r="T399" s="80"/>
    </row>
    <row r="400" spans="1:20" x14ac:dyDescent="0.35">
      <c r="A400" s="83" t="s">
        <v>1281</v>
      </c>
      <c r="D400" s="83" t="s">
        <v>2668</v>
      </c>
      <c r="F400" s="89">
        <v>900</v>
      </c>
      <c r="H400" s="89">
        <v>900</v>
      </c>
      <c r="J400" s="89">
        <v>900</v>
      </c>
      <c r="K400" s="89"/>
      <c r="M400" s="80">
        <f t="shared" si="29"/>
        <v>225</v>
      </c>
      <c r="O400" s="87">
        <v>0</v>
      </c>
      <c r="P400" s="80"/>
      <c r="Q400" s="87">
        <f t="shared" si="28"/>
        <v>225</v>
      </c>
      <c r="R400" s="80"/>
      <c r="S400" s="87">
        <v>0</v>
      </c>
      <c r="T400" s="80"/>
    </row>
    <row r="401" spans="1:20" x14ac:dyDescent="0.35">
      <c r="A401" s="83" t="s">
        <v>1282</v>
      </c>
      <c r="D401" s="83" t="s">
        <v>1124</v>
      </c>
      <c r="F401" s="89">
        <v>18570</v>
      </c>
      <c r="H401" s="89">
        <v>18853</v>
      </c>
      <c r="J401" s="89">
        <f>15433+12140</f>
        <v>27573</v>
      </c>
      <c r="K401" s="89"/>
      <c r="M401" s="80">
        <f t="shared" si="29"/>
        <v>6893.25</v>
      </c>
      <c r="O401" s="87">
        <v>6514</v>
      </c>
      <c r="P401" s="80"/>
      <c r="Q401" s="87">
        <f t="shared" si="28"/>
        <v>379.25</v>
      </c>
      <c r="R401" s="80"/>
      <c r="S401" s="87">
        <v>4643</v>
      </c>
      <c r="T401" s="80"/>
    </row>
    <row r="402" spans="1:20" x14ac:dyDescent="0.35">
      <c r="A402" s="83" t="s">
        <v>1283</v>
      </c>
      <c r="D402" s="83" t="s">
        <v>2615</v>
      </c>
      <c r="F402" s="89">
        <v>14369</v>
      </c>
      <c r="H402" s="89">
        <v>12776</v>
      </c>
      <c r="J402" s="89">
        <f>12000+2961</f>
        <v>14961</v>
      </c>
      <c r="K402" s="89"/>
      <c r="M402" s="80">
        <f t="shared" si="29"/>
        <v>3740.25</v>
      </c>
      <c r="O402" s="87">
        <v>3839</v>
      </c>
      <c r="P402" s="80"/>
      <c r="Q402" s="87">
        <f t="shared" si="28"/>
        <v>-98.75</v>
      </c>
      <c r="R402" s="80"/>
      <c r="S402" s="87">
        <v>2899</v>
      </c>
      <c r="T402" s="80"/>
    </row>
    <row r="403" spans="1:20" x14ac:dyDescent="0.35">
      <c r="A403" s="83" t="s">
        <v>1284</v>
      </c>
      <c r="D403" s="83" t="s">
        <v>2617</v>
      </c>
      <c r="F403" s="89">
        <v>5000</v>
      </c>
      <c r="H403" s="89">
        <v>6039</v>
      </c>
      <c r="J403" s="89">
        <v>5000</v>
      </c>
      <c r="K403" s="89"/>
      <c r="M403" s="80">
        <f t="shared" si="29"/>
        <v>1250</v>
      </c>
      <c r="O403" s="87">
        <v>1884</v>
      </c>
      <c r="P403" s="80"/>
      <c r="Q403" s="87">
        <f t="shared" si="28"/>
        <v>-634</v>
      </c>
      <c r="R403" s="80"/>
      <c r="S403" s="87">
        <v>1227</v>
      </c>
      <c r="T403" s="80"/>
    </row>
    <row r="404" spans="1:20" x14ac:dyDescent="0.35">
      <c r="A404" s="83" t="s">
        <v>1285</v>
      </c>
      <c r="D404" s="83" t="s">
        <v>2619</v>
      </c>
      <c r="F404" s="89">
        <v>1333.3333333333333</v>
      </c>
      <c r="H404" s="89">
        <v>615</v>
      </c>
      <c r="J404" s="89">
        <v>1333</v>
      </c>
      <c r="K404" s="89"/>
      <c r="M404" s="80">
        <f t="shared" si="29"/>
        <v>333.25</v>
      </c>
      <c r="O404" s="87">
        <v>0</v>
      </c>
      <c r="P404" s="80"/>
      <c r="Q404" s="87">
        <f t="shared" si="28"/>
        <v>333.25</v>
      </c>
      <c r="R404" s="80"/>
      <c r="S404" s="87">
        <v>110</v>
      </c>
      <c r="T404" s="80"/>
    </row>
    <row r="405" spans="1:20" x14ac:dyDescent="0.35">
      <c r="A405" s="83" t="s">
        <v>1286</v>
      </c>
      <c r="D405" s="83" t="s">
        <v>2623</v>
      </c>
      <c r="F405" s="89">
        <v>2250</v>
      </c>
      <c r="H405" s="89">
        <v>3363</v>
      </c>
      <c r="J405" s="89">
        <v>2250</v>
      </c>
      <c r="K405" s="89"/>
      <c r="M405" s="80">
        <f t="shared" si="29"/>
        <v>562.5</v>
      </c>
      <c r="O405" s="87">
        <v>1195</v>
      </c>
      <c r="P405" s="80"/>
      <c r="Q405" s="87">
        <f t="shared" si="28"/>
        <v>-632.5</v>
      </c>
      <c r="R405" s="80"/>
      <c r="S405" s="87">
        <v>639</v>
      </c>
      <c r="T405" s="80"/>
    </row>
    <row r="406" spans="1:20" x14ac:dyDescent="0.35">
      <c r="A406" s="83" t="s">
        <v>1287</v>
      </c>
      <c r="D406" s="83" t="s">
        <v>2706</v>
      </c>
      <c r="F406" s="84">
        <v>0</v>
      </c>
      <c r="H406" s="89">
        <v>1185</v>
      </c>
      <c r="J406" s="84">
        <v>0</v>
      </c>
      <c r="K406" s="84"/>
      <c r="M406" s="80">
        <f t="shared" si="29"/>
        <v>0</v>
      </c>
      <c r="O406" s="87">
        <v>35</v>
      </c>
      <c r="P406" s="80"/>
      <c r="Q406" s="87">
        <f t="shared" si="28"/>
        <v>-35</v>
      </c>
      <c r="R406" s="80"/>
      <c r="S406" s="87">
        <v>53</v>
      </c>
      <c r="T406" s="80"/>
    </row>
    <row r="407" spans="1:20" x14ac:dyDescent="0.35">
      <c r="A407" s="83"/>
      <c r="D407" s="83" t="s">
        <v>1288</v>
      </c>
      <c r="F407" s="84">
        <v>0</v>
      </c>
      <c r="H407" s="89">
        <v>1396</v>
      </c>
      <c r="J407" s="84">
        <v>0</v>
      </c>
      <c r="K407" s="84"/>
      <c r="M407" s="80">
        <f t="shared" si="29"/>
        <v>0</v>
      </c>
      <c r="O407" s="87">
        <v>224</v>
      </c>
      <c r="P407" s="80"/>
      <c r="Q407" s="87">
        <f t="shared" si="28"/>
        <v>-224</v>
      </c>
      <c r="R407" s="80"/>
      <c r="S407" s="87">
        <v>354</v>
      </c>
      <c r="T407" s="80"/>
    </row>
    <row r="408" spans="1:20" x14ac:dyDescent="0.35">
      <c r="A408" s="83" t="s">
        <v>1289</v>
      </c>
      <c r="D408" s="83" t="s">
        <v>2627</v>
      </c>
      <c r="F408" s="89">
        <v>1500</v>
      </c>
      <c r="H408" s="89">
        <v>582</v>
      </c>
      <c r="J408" s="89">
        <v>1500</v>
      </c>
      <c r="K408" s="89"/>
      <c r="M408" s="80">
        <f t="shared" si="29"/>
        <v>375</v>
      </c>
      <c r="O408" s="87">
        <v>0</v>
      </c>
      <c r="P408" s="80"/>
      <c r="Q408" s="87">
        <f t="shared" si="28"/>
        <v>375</v>
      </c>
      <c r="R408" s="80"/>
      <c r="S408" s="87">
        <v>0</v>
      </c>
      <c r="T408" s="80"/>
    </row>
    <row r="409" spans="1:20" x14ac:dyDescent="0.35">
      <c r="A409" s="83" t="s">
        <v>1290</v>
      </c>
      <c r="D409" s="83" t="s">
        <v>1061</v>
      </c>
      <c r="F409" s="89">
        <v>4000</v>
      </c>
      <c r="H409" s="89">
        <v>4000</v>
      </c>
      <c r="J409" s="89">
        <v>25000</v>
      </c>
      <c r="K409" s="89"/>
      <c r="M409" s="80">
        <f t="shared" si="29"/>
        <v>6250</v>
      </c>
      <c r="O409" s="87">
        <v>4083</v>
      </c>
      <c r="P409" s="80"/>
      <c r="Q409" s="87">
        <f t="shared" si="28"/>
        <v>2167</v>
      </c>
      <c r="R409" s="80"/>
      <c r="S409" s="87">
        <v>1000</v>
      </c>
      <c r="T409" s="80"/>
    </row>
    <row r="410" spans="1:20" x14ac:dyDescent="0.35">
      <c r="A410" s="83" t="s">
        <v>1291</v>
      </c>
      <c r="D410" s="83" t="s">
        <v>2631</v>
      </c>
      <c r="F410" s="89">
        <f>78000/6</f>
        <v>13000</v>
      </c>
      <c r="H410" s="89">
        <v>42929</v>
      </c>
      <c r="J410" s="89">
        <f>78000/6</f>
        <v>13000</v>
      </c>
      <c r="K410" s="89"/>
      <c r="M410" s="80">
        <f t="shared" si="29"/>
        <v>3250</v>
      </c>
      <c r="O410" s="87">
        <v>5435</v>
      </c>
      <c r="P410" s="80"/>
      <c r="Q410" s="87">
        <f t="shared" si="28"/>
        <v>-2185</v>
      </c>
      <c r="R410" s="80"/>
      <c r="S410" s="87">
        <v>7636</v>
      </c>
      <c r="T410" s="80"/>
    </row>
    <row r="411" spans="1:20" hidden="1" x14ac:dyDescent="0.35">
      <c r="A411" s="83" t="s">
        <v>1292</v>
      </c>
      <c r="D411" s="83" t="s">
        <v>1293</v>
      </c>
      <c r="F411" s="89">
        <v>0</v>
      </c>
      <c r="H411" s="89">
        <v>0</v>
      </c>
      <c r="J411" s="89">
        <v>0</v>
      </c>
      <c r="K411" s="89"/>
      <c r="M411" s="80">
        <f t="shared" si="29"/>
        <v>0</v>
      </c>
      <c r="O411" s="87">
        <v>0</v>
      </c>
      <c r="P411" s="80"/>
      <c r="Q411" s="87">
        <f t="shared" si="28"/>
        <v>0</v>
      </c>
      <c r="R411" s="80"/>
      <c r="S411" s="87">
        <v>0</v>
      </c>
      <c r="T411" s="80"/>
    </row>
    <row r="412" spans="1:20" x14ac:dyDescent="0.35">
      <c r="A412" s="83" t="s">
        <v>1294</v>
      </c>
      <c r="D412" s="83" t="s">
        <v>1295</v>
      </c>
      <c r="F412" s="89">
        <v>3000</v>
      </c>
      <c r="H412" s="89">
        <v>8134</v>
      </c>
      <c r="J412" s="89">
        <v>3000</v>
      </c>
      <c r="K412" s="89"/>
      <c r="M412" s="80">
        <f t="shared" si="29"/>
        <v>750</v>
      </c>
      <c r="O412" s="87">
        <v>1069</v>
      </c>
      <c r="P412" s="80"/>
      <c r="Q412" s="87">
        <f t="shared" si="28"/>
        <v>-319</v>
      </c>
      <c r="R412" s="80"/>
      <c r="S412" s="87">
        <v>1599</v>
      </c>
      <c r="T412" s="80"/>
    </row>
    <row r="413" spans="1:20" x14ac:dyDescent="0.35">
      <c r="A413" s="83" t="s">
        <v>1296</v>
      </c>
      <c r="D413" s="83" t="s">
        <v>1297</v>
      </c>
      <c r="F413" s="89">
        <v>3000</v>
      </c>
      <c r="H413" s="89">
        <v>2125</v>
      </c>
      <c r="J413" s="89">
        <v>3000</v>
      </c>
      <c r="K413" s="89"/>
      <c r="M413" s="80">
        <f t="shared" si="29"/>
        <v>750</v>
      </c>
      <c r="O413" s="87">
        <v>0</v>
      </c>
      <c r="P413" s="80"/>
      <c r="Q413" s="87">
        <f t="shared" si="28"/>
        <v>750</v>
      </c>
      <c r="R413" s="80"/>
      <c r="S413" s="87">
        <v>0</v>
      </c>
      <c r="T413" s="80"/>
    </row>
    <row r="414" spans="1:20" hidden="1" x14ac:dyDescent="0.35">
      <c r="A414" s="83" t="s">
        <v>1298</v>
      </c>
      <c r="D414" s="83" t="s">
        <v>1299</v>
      </c>
      <c r="F414" s="89">
        <v>0</v>
      </c>
      <c r="H414" s="89">
        <v>0</v>
      </c>
      <c r="J414" s="89">
        <v>0</v>
      </c>
      <c r="K414" s="89"/>
      <c r="M414" s="89">
        <v>0</v>
      </c>
      <c r="O414" s="103">
        <v>0</v>
      </c>
      <c r="P414" s="80"/>
      <c r="Q414" s="103">
        <v>0</v>
      </c>
      <c r="R414" s="80"/>
      <c r="S414" s="103">
        <v>0</v>
      </c>
      <c r="T414" s="80"/>
    </row>
    <row r="415" spans="1:20" ht="13.9" x14ac:dyDescent="0.4">
      <c r="B415" s="83"/>
      <c r="D415" s="88" t="s">
        <v>1042</v>
      </c>
      <c r="F415" s="93">
        <f>SUM(F397:F414)</f>
        <v>166879.13333333333</v>
      </c>
      <c r="H415" s="93">
        <f>SUM(H397:H414)</f>
        <v>203418.96249999999</v>
      </c>
      <c r="J415" s="93">
        <f>SUM(J397:J414)</f>
        <v>200486.38</v>
      </c>
      <c r="K415" s="138"/>
      <c r="M415" s="93">
        <f>SUM(M397:M414)</f>
        <v>50121.595000000001</v>
      </c>
      <c r="O415" s="94">
        <f>SUM(O397:O414)</f>
        <v>50021</v>
      </c>
      <c r="P415" s="80"/>
      <c r="Q415" s="94">
        <f>SUM(Q397:Q414)</f>
        <v>100.59500000000003</v>
      </c>
      <c r="R415" s="80"/>
      <c r="S415" s="94">
        <f>SUM(S397:S414)</f>
        <v>42256</v>
      </c>
      <c r="T415" s="80"/>
    </row>
    <row r="416" spans="1:20" x14ac:dyDescent="0.35">
      <c r="F416" s="92"/>
      <c r="H416" s="92"/>
      <c r="J416" s="92"/>
      <c r="K416" s="92"/>
      <c r="M416" s="92"/>
      <c r="O416" s="95"/>
      <c r="P416" s="80"/>
      <c r="Q416" s="95"/>
      <c r="R416" s="80"/>
      <c r="S416" s="95"/>
      <c r="T416" s="80"/>
    </row>
    <row r="417" spans="1:20" ht="13.9" x14ac:dyDescent="0.35">
      <c r="D417" s="82" t="s">
        <v>1125</v>
      </c>
      <c r="F417" s="92"/>
      <c r="H417" s="92"/>
      <c r="J417" s="92"/>
      <c r="K417" s="92"/>
      <c r="M417" s="92"/>
      <c r="O417" s="95"/>
      <c r="P417" s="80"/>
      <c r="Q417" s="95"/>
      <c r="R417" s="80"/>
      <c r="S417" s="95"/>
      <c r="T417" s="80"/>
    </row>
    <row r="418" spans="1:20" x14ac:dyDescent="0.35">
      <c r="A418" s="83" t="s">
        <v>1300</v>
      </c>
      <c r="D418" s="83" t="s">
        <v>1122</v>
      </c>
      <c r="F418" s="89">
        <v>66965</v>
      </c>
      <c r="H418" s="89">
        <v>66425</v>
      </c>
      <c r="J418" s="89">
        <f>76978-1200</f>
        <v>75778</v>
      </c>
      <c r="K418" s="89"/>
      <c r="M418" s="80">
        <f>+J418/12*3</f>
        <v>18944.5</v>
      </c>
      <c r="O418" s="87">
        <v>22102</v>
      </c>
      <c r="P418" s="80"/>
      <c r="Q418" s="87">
        <f t="shared" ref="Q418:Q435" si="30">+M418-O418</f>
        <v>-3157.5</v>
      </c>
      <c r="R418" s="80"/>
      <c r="S418" s="87">
        <v>13951</v>
      </c>
      <c r="T418" s="80"/>
    </row>
    <row r="419" spans="1:20" x14ac:dyDescent="0.35">
      <c r="A419" s="83" t="s">
        <v>1301</v>
      </c>
      <c r="D419" s="83" t="s">
        <v>1123</v>
      </c>
      <c r="F419" s="89">
        <v>24720</v>
      </c>
      <c r="H419" s="89">
        <v>27188</v>
      </c>
      <c r="J419" s="89">
        <v>26920</v>
      </c>
      <c r="K419" s="89"/>
      <c r="M419" s="80">
        <f t="shared" ref="M419:M435" si="31">+J419/12*3</f>
        <v>6730</v>
      </c>
      <c r="O419" s="87">
        <v>6730</v>
      </c>
      <c r="P419" s="80"/>
      <c r="Q419" s="87">
        <f t="shared" si="30"/>
        <v>0</v>
      </c>
      <c r="R419" s="80"/>
      <c r="S419" s="87">
        <v>7602</v>
      </c>
      <c r="T419" s="80"/>
    </row>
    <row r="420" spans="1:20" x14ac:dyDescent="0.35">
      <c r="A420" s="83" t="s">
        <v>1302</v>
      </c>
      <c r="D420" s="83" t="s">
        <v>2666</v>
      </c>
      <c r="F420" s="89">
        <f>+F419*7.65/100</f>
        <v>1891.08</v>
      </c>
      <c r="H420" s="89">
        <v>1833</v>
      </c>
      <c r="J420" s="89">
        <f>+J419*7.65/100</f>
        <v>2059.38</v>
      </c>
      <c r="K420" s="89"/>
      <c r="M420" s="80">
        <f t="shared" si="31"/>
        <v>514.84500000000003</v>
      </c>
      <c r="O420" s="87">
        <v>515</v>
      </c>
      <c r="P420" s="80"/>
      <c r="Q420" s="87">
        <f t="shared" si="30"/>
        <v>-0.15499999999997272</v>
      </c>
      <c r="R420" s="80"/>
      <c r="S420" s="87">
        <v>334</v>
      </c>
      <c r="T420" s="80"/>
    </row>
    <row r="421" spans="1:20" x14ac:dyDescent="0.35">
      <c r="A421" s="83" t="s">
        <v>1303</v>
      </c>
      <c r="D421" s="83" t="s">
        <v>2668</v>
      </c>
      <c r="F421" s="89">
        <v>900</v>
      </c>
      <c r="H421" s="89">
        <v>900</v>
      </c>
      <c r="J421" s="89">
        <v>900</v>
      </c>
      <c r="K421" s="89"/>
      <c r="M421" s="80">
        <f t="shared" si="31"/>
        <v>225</v>
      </c>
      <c r="O421" s="87">
        <v>0</v>
      </c>
      <c r="P421" s="80"/>
      <c r="Q421" s="87">
        <f t="shared" si="30"/>
        <v>225</v>
      </c>
      <c r="R421" s="80"/>
      <c r="S421" s="87">
        <v>0</v>
      </c>
      <c r="T421" s="80"/>
    </row>
    <row r="422" spans="1:20" x14ac:dyDescent="0.35">
      <c r="A422" s="83" t="s">
        <v>1304</v>
      </c>
      <c r="D422" s="83" t="s">
        <v>1124</v>
      </c>
      <c r="F422" s="89">
        <v>26352</v>
      </c>
      <c r="H422" s="89">
        <v>23656</v>
      </c>
      <c r="J422" s="89">
        <f>15433+13030</f>
        <v>28463</v>
      </c>
      <c r="K422" s="89"/>
      <c r="M422" s="80">
        <f t="shared" si="31"/>
        <v>7115.75</v>
      </c>
      <c r="O422" s="87">
        <v>3351</v>
      </c>
      <c r="P422" s="80"/>
      <c r="Q422" s="87">
        <f t="shared" si="30"/>
        <v>3764.75</v>
      </c>
      <c r="R422" s="80"/>
      <c r="S422" s="87">
        <v>6318</v>
      </c>
      <c r="T422" s="80"/>
    </row>
    <row r="423" spans="1:20" x14ac:dyDescent="0.35">
      <c r="A423" s="83" t="s">
        <v>1305</v>
      </c>
      <c r="D423" s="83" t="s">
        <v>2615</v>
      </c>
      <c r="F423" s="89">
        <v>14158</v>
      </c>
      <c r="H423" s="89">
        <v>14233</v>
      </c>
      <c r="J423" s="89">
        <f>11250+2961</f>
        <v>14211</v>
      </c>
      <c r="K423" s="89"/>
      <c r="M423" s="80">
        <f t="shared" si="31"/>
        <v>3552.75</v>
      </c>
      <c r="O423" s="87">
        <v>3844</v>
      </c>
      <c r="P423" s="80"/>
      <c r="Q423" s="87">
        <f t="shared" si="30"/>
        <v>-291.25</v>
      </c>
      <c r="R423" s="80"/>
      <c r="S423" s="87">
        <v>3313</v>
      </c>
      <c r="T423" s="80"/>
    </row>
    <row r="424" spans="1:20" x14ac:dyDescent="0.35">
      <c r="A424" s="83" t="s">
        <v>1306</v>
      </c>
      <c r="D424" s="83" t="s">
        <v>2617</v>
      </c>
      <c r="F424" s="89">
        <v>5000</v>
      </c>
      <c r="H424" s="89">
        <v>4541</v>
      </c>
      <c r="J424" s="89">
        <v>5000</v>
      </c>
      <c r="K424" s="89"/>
      <c r="M424" s="80">
        <f t="shared" si="31"/>
        <v>1250</v>
      </c>
      <c r="O424" s="87">
        <v>1426</v>
      </c>
      <c r="P424" s="80"/>
      <c r="Q424" s="87">
        <f t="shared" si="30"/>
        <v>-176</v>
      </c>
      <c r="R424" s="80"/>
      <c r="S424" s="87">
        <v>997</v>
      </c>
      <c r="T424" s="80"/>
    </row>
    <row r="425" spans="1:20" x14ac:dyDescent="0.35">
      <c r="A425" s="83" t="s">
        <v>1307</v>
      </c>
      <c r="D425" s="83" t="s">
        <v>2619</v>
      </c>
      <c r="F425" s="89">
        <v>1333</v>
      </c>
      <c r="H425" s="89">
        <v>1558</v>
      </c>
      <c r="J425" s="89">
        <v>1333</v>
      </c>
      <c r="K425" s="89"/>
      <c r="M425" s="80">
        <f t="shared" si="31"/>
        <v>333.25</v>
      </c>
      <c r="O425" s="87">
        <v>207</v>
      </c>
      <c r="P425" s="80"/>
      <c r="Q425" s="87">
        <f t="shared" si="30"/>
        <v>126.25</v>
      </c>
      <c r="R425" s="80"/>
      <c r="S425" s="87">
        <v>129</v>
      </c>
      <c r="T425" s="80"/>
    </row>
    <row r="426" spans="1:20" x14ac:dyDescent="0.35">
      <c r="A426" s="83" t="s">
        <v>1308</v>
      </c>
      <c r="D426" s="83" t="s">
        <v>2623</v>
      </c>
      <c r="F426" s="89">
        <v>2250</v>
      </c>
      <c r="H426" s="89">
        <v>1506</v>
      </c>
      <c r="J426" s="89">
        <v>2250</v>
      </c>
      <c r="K426" s="89"/>
      <c r="M426" s="80">
        <f t="shared" si="31"/>
        <v>562.5</v>
      </c>
      <c r="O426" s="87">
        <v>443</v>
      </c>
      <c r="P426" s="80"/>
      <c r="Q426" s="87">
        <f t="shared" si="30"/>
        <v>119.5</v>
      </c>
      <c r="R426" s="80"/>
      <c r="S426" s="87">
        <v>847</v>
      </c>
      <c r="T426" s="80"/>
    </row>
    <row r="427" spans="1:20" x14ac:dyDescent="0.35">
      <c r="A427" s="83" t="s">
        <v>1309</v>
      </c>
      <c r="D427" s="83" t="s">
        <v>2706</v>
      </c>
      <c r="F427" s="84">
        <v>0</v>
      </c>
      <c r="H427" s="84">
        <v>0</v>
      </c>
      <c r="J427" s="84">
        <v>0</v>
      </c>
      <c r="K427" s="84"/>
      <c r="M427" s="80">
        <f t="shared" si="31"/>
        <v>0</v>
      </c>
      <c r="O427" s="87">
        <v>415</v>
      </c>
      <c r="P427" s="80"/>
      <c r="Q427" s="87">
        <f t="shared" si="30"/>
        <v>-415</v>
      </c>
      <c r="R427" s="80"/>
      <c r="S427" s="87">
        <v>0</v>
      </c>
      <c r="T427" s="80"/>
    </row>
    <row r="428" spans="1:20" x14ac:dyDescent="0.35">
      <c r="A428" s="83"/>
      <c r="D428" s="83" t="s">
        <v>1288</v>
      </c>
      <c r="F428" s="84">
        <v>0</v>
      </c>
      <c r="H428" s="89">
        <v>1584</v>
      </c>
      <c r="J428" s="84">
        <v>0</v>
      </c>
      <c r="K428" s="84"/>
      <c r="M428" s="80">
        <f t="shared" si="31"/>
        <v>0</v>
      </c>
      <c r="O428" s="87">
        <v>398</v>
      </c>
      <c r="P428" s="80"/>
      <c r="Q428" s="87">
        <f t="shared" si="30"/>
        <v>-398</v>
      </c>
      <c r="R428" s="80"/>
      <c r="S428" s="87">
        <v>240</v>
      </c>
      <c r="T428" s="80"/>
    </row>
    <row r="429" spans="1:20" x14ac:dyDescent="0.35">
      <c r="A429" s="83" t="s">
        <v>1310</v>
      </c>
      <c r="D429" s="83" t="s">
        <v>2627</v>
      </c>
      <c r="F429" s="89">
        <v>1500</v>
      </c>
      <c r="H429" s="89">
        <v>582</v>
      </c>
      <c r="J429" s="89">
        <v>1500</v>
      </c>
      <c r="K429" s="89"/>
      <c r="M429" s="80">
        <f t="shared" si="31"/>
        <v>375</v>
      </c>
      <c r="O429" s="87">
        <v>0</v>
      </c>
      <c r="P429" s="80"/>
      <c r="Q429" s="87">
        <f t="shared" si="30"/>
        <v>375</v>
      </c>
      <c r="R429" s="80"/>
      <c r="S429" s="87">
        <v>0</v>
      </c>
      <c r="T429" s="80"/>
    </row>
    <row r="430" spans="1:20" x14ac:dyDescent="0.35">
      <c r="A430" s="83" t="s">
        <v>1311</v>
      </c>
      <c r="D430" s="83" t="s">
        <v>1061</v>
      </c>
      <c r="F430" s="89">
        <v>6000</v>
      </c>
      <c r="H430" s="89">
        <v>3750</v>
      </c>
      <c r="J430" s="89">
        <v>1200</v>
      </c>
      <c r="K430" s="89"/>
      <c r="M430" s="80">
        <f t="shared" si="31"/>
        <v>300</v>
      </c>
      <c r="O430" s="87">
        <v>2000</v>
      </c>
      <c r="P430" s="80"/>
      <c r="Q430" s="87">
        <f t="shared" si="30"/>
        <v>-1700</v>
      </c>
      <c r="R430" s="80"/>
      <c r="S430" s="87">
        <v>1500</v>
      </c>
      <c r="T430" s="80"/>
    </row>
    <row r="431" spans="1:20" hidden="1" x14ac:dyDescent="0.35">
      <c r="A431" s="83" t="s">
        <v>1312</v>
      </c>
      <c r="D431" s="83" t="s">
        <v>2791</v>
      </c>
      <c r="F431" s="89">
        <v>0</v>
      </c>
      <c r="H431" s="89">
        <v>0</v>
      </c>
      <c r="J431" s="89">
        <v>0</v>
      </c>
      <c r="K431" s="89"/>
      <c r="M431" s="80">
        <f t="shared" si="31"/>
        <v>0</v>
      </c>
      <c r="O431" s="87">
        <v>0</v>
      </c>
      <c r="P431" s="80"/>
      <c r="Q431" s="87">
        <f t="shared" si="30"/>
        <v>0</v>
      </c>
      <c r="R431" s="80"/>
      <c r="S431" s="87">
        <v>0</v>
      </c>
      <c r="T431" s="80"/>
    </row>
    <row r="432" spans="1:20" hidden="1" x14ac:dyDescent="0.35">
      <c r="A432" s="83" t="s">
        <v>1313</v>
      </c>
      <c r="D432" s="83" t="s">
        <v>1314</v>
      </c>
      <c r="F432" s="89">
        <v>0</v>
      </c>
      <c r="H432" s="89">
        <v>0</v>
      </c>
      <c r="J432" s="89">
        <v>0</v>
      </c>
      <c r="K432" s="89"/>
      <c r="M432" s="80">
        <f t="shared" si="31"/>
        <v>0</v>
      </c>
      <c r="O432" s="87">
        <v>0</v>
      </c>
      <c r="P432" s="80"/>
      <c r="Q432" s="87">
        <f t="shared" si="30"/>
        <v>0</v>
      </c>
      <c r="R432" s="80"/>
      <c r="S432" s="87">
        <v>0</v>
      </c>
      <c r="T432" s="80"/>
    </row>
    <row r="433" spans="1:20" x14ac:dyDescent="0.35">
      <c r="A433" s="83" t="s">
        <v>1315</v>
      </c>
      <c r="D433" s="83" t="s">
        <v>2631</v>
      </c>
      <c r="F433" s="89">
        <v>13000</v>
      </c>
      <c r="H433" s="89">
        <v>16670</v>
      </c>
      <c r="J433" s="89">
        <v>13000</v>
      </c>
      <c r="K433" s="89"/>
      <c r="M433" s="80">
        <f t="shared" si="31"/>
        <v>3250</v>
      </c>
      <c r="O433" s="87">
        <v>5997</v>
      </c>
      <c r="P433" s="80"/>
      <c r="Q433" s="87">
        <f t="shared" si="30"/>
        <v>-2747</v>
      </c>
      <c r="R433" s="80"/>
      <c r="S433" s="87">
        <v>3044</v>
      </c>
      <c r="T433" s="80"/>
    </row>
    <row r="434" spans="1:20" x14ac:dyDescent="0.35">
      <c r="A434" s="83" t="s">
        <v>1316</v>
      </c>
      <c r="D434" s="83" t="s">
        <v>1295</v>
      </c>
      <c r="F434" s="89">
        <v>3000</v>
      </c>
      <c r="H434" s="89">
        <v>5374</v>
      </c>
      <c r="J434" s="89">
        <v>3000</v>
      </c>
      <c r="K434" s="89"/>
      <c r="M434" s="80">
        <f t="shared" si="31"/>
        <v>750</v>
      </c>
      <c r="O434" s="87">
        <v>317</v>
      </c>
      <c r="P434" s="80"/>
      <c r="Q434" s="87">
        <f t="shared" si="30"/>
        <v>433</v>
      </c>
      <c r="R434" s="80"/>
      <c r="S434" s="87">
        <v>738</v>
      </c>
      <c r="T434" s="80"/>
    </row>
    <row r="435" spans="1:20" x14ac:dyDescent="0.35">
      <c r="A435" s="83" t="s">
        <v>1317</v>
      </c>
      <c r="D435" s="83" t="s">
        <v>255</v>
      </c>
      <c r="F435" s="89">
        <v>3000</v>
      </c>
      <c r="H435" s="89">
        <v>0</v>
      </c>
      <c r="J435" s="89">
        <v>3000</v>
      </c>
      <c r="K435" s="89"/>
      <c r="M435" s="80">
        <f t="shared" si="31"/>
        <v>750</v>
      </c>
      <c r="O435" s="87">
        <v>0</v>
      </c>
      <c r="P435" s="80"/>
      <c r="Q435" s="87">
        <f t="shared" si="30"/>
        <v>750</v>
      </c>
      <c r="R435" s="80"/>
      <c r="S435" s="87">
        <v>0</v>
      </c>
      <c r="T435" s="80"/>
    </row>
    <row r="436" spans="1:20" hidden="1" x14ac:dyDescent="0.35">
      <c r="A436" s="83" t="s">
        <v>1318</v>
      </c>
      <c r="D436" s="83" t="s">
        <v>1319</v>
      </c>
      <c r="F436" s="89">
        <v>0</v>
      </c>
      <c r="H436" s="89">
        <v>0</v>
      </c>
      <c r="J436" s="89">
        <v>0</v>
      </c>
      <c r="K436" s="89"/>
      <c r="M436" s="89">
        <v>0</v>
      </c>
      <c r="O436" s="103">
        <v>0</v>
      </c>
      <c r="P436" s="80"/>
      <c r="Q436" s="103">
        <v>0</v>
      </c>
      <c r="R436" s="80"/>
      <c r="S436" s="103">
        <v>0</v>
      </c>
      <c r="T436" s="80"/>
    </row>
    <row r="437" spans="1:20" ht="13.9" x14ac:dyDescent="0.4">
      <c r="B437" s="83"/>
      <c r="D437" s="88" t="s">
        <v>1042</v>
      </c>
      <c r="F437" s="93">
        <f>SUM(F418:F436)</f>
        <v>170069.08000000002</v>
      </c>
      <c r="H437" s="93">
        <f>SUM(H418:H436)</f>
        <v>169800</v>
      </c>
      <c r="J437" s="93">
        <f>SUM(J418:J436)</f>
        <v>178614.38</v>
      </c>
      <c r="K437" s="138"/>
      <c r="M437" s="93">
        <f>SUM(M418:M436)</f>
        <v>44653.595000000001</v>
      </c>
      <c r="O437" s="94">
        <f>SUM(O418:O436)</f>
        <v>47745</v>
      </c>
      <c r="P437" s="80"/>
      <c r="Q437" s="94">
        <f>SUM(Q418:Q436)</f>
        <v>-3091.4049999999997</v>
      </c>
      <c r="R437" s="80"/>
      <c r="S437" s="94">
        <f>SUM(S418:S436)</f>
        <v>39013</v>
      </c>
      <c r="T437" s="80"/>
    </row>
    <row r="438" spans="1:20" x14ac:dyDescent="0.35">
      <c r="F438" s="92"/>
      <c r="H438" s="92"/>
      <c r="J438" s="92"/>
      <c r="K438" s="92"/>
      <c r="M438" s="92"/>
      <c r="O438" s="95"/>
      <c r="P438" s="80"/>
      <c r="Q438" s="95"/>
      <c r="R438" s="80"/>
      <c r="S438" s="95"/>
      <c r="T438" s="80"/>
    </row>
    <row r="439" spans="1:20" ht="13.9" x14ac:dyDescent="0.35">
      <c r="D439" s="82" t="s">
        <v>1126</v>
      </c>
      <c r="F439" s="92"/>
      <c r="H439" s="92"/>
      <c r="J439" s="92"/>
      <c r="K439" s="92"/>
      <c r="M439" s="92"/>
      <c r="O439" s="95"/>
      <c r="P439" s="80"/>
      <c r="Q439" s="95"/>
      <c r="R439" s="80"/>
      <c r="S439" s="95"/>
      <c r="T439" s="80"/>
    </row>
    <row r="440" spans="1:20" x14ac:dyDescent="0.35">
      <c r="A440" s="83" t="s">
        <v>1320</v>
      </c>
      <c r="D440" s="83" t="s">
        <v>1122</v>
      </c>
      <c r="F440" s="89">
        <v>71965</v>
      </c>
      <c r="H440" s="89">
        <v>72255</v>
      </c>
      <c r="J440" s="89">
        <f>76978-6000</f>
        <v>70978</v>
      </c>
      <c r="K440" s="89"/>
      <c r="M440" s="80">
        <f>+J440/12*3</f>
        <v>17744.5</v>
      </c>
      <c r="O440" s="87">
        <v>17745</v>
      </c>
      <c r="P440" s="80"/>
      <c r="Q440" s="87">
        <f t="shared" ref="Q440:Q455" si="32">+M440-O440</f>
        <v>-0.5</v>
      </c>
      <c r="R440" s="80"/>
      <c r="S440" s="87">
        <v>14993</v>
      </c>
      <c r="T440" s="80"/>
    </row>
    <row r="441" spans="1:20" x14ac:dyDescent="0.35">
      <c r="A441" s="83" t="s">
        <v>1321</v>
      </c>
      <c r="D441" s="83" t="s">
        <v>1123</v>
      </c>
      <c r="F441" s="89">
        <v>30365</v>
      </c>
      <c r="H441" s="89">
        <v>19868</v>
      </c>
      <c r="J441" s="89">
        <v>26432</v>
      </c>
      <c r="K441" s="89"/>
      <c r="M441" s="80">
        <f t="shared" ref="M441:M455" si="33">+J441/12*3</f>
        <v>6608</v>
      </c>
      <c r="O441" s="87">
        <v>5938</v>
      </c>
      <c r="P441" s="80"/>
      <c r="Q441" s="87">
        <f t="shared" si="32"/>
        <v>670</v>
      </c>
      <c r="R441" s="80"/>
      <c r="S441" s="87">
        <v>7591</v>
      </c>
      <c r="T441" s="80"/>
    </row>
    <row r="442" spans="1:20" x14ac:dyDescent="0.35">
      <c r="A442" s="83" t="s">
        <v>1322</v>
      </c>
      <c r="D442" s="83" t="s">
        <v>2666</v>
      </c>
      <c r="F442" s="89">
        <v>2323</v>
      </c>
      <c r="H442" s="89">
        <v>1520</v>
      </c>
      <c r="J442" s="89">
        <f>+J441*7.65/100</f>
        <v>2022.0480000000002</v>
      </c>
      <c r="K442" s="89"/>
      <c r="M442" s="80">
        <f t="shared" si="33"/>
        <v>505.51200000000006</v>
      </c>
      <c r="O442" s="87">
        <v>454</v>
      </c>
      <c r="P442" s="80"/>
      <c r="Q442" s="87">
        <f t="shared" si="32"/>
        <v>51.512000000000057</v>
      </c>
      <c r="R442" s="80"/>
      <c r="S442" s="87">
        <v>581</v>
      </c>
      <c r="T442" s="80"/>
    </row>
    <row r="443" spans="1:20" x14ac:dyDescent="0.35">
      <c r="A443" s="83" t="s">
        <v>1323</v>
      </c>
      <c r="D443" s="83" t="s">
        <v>2668</v>
      </c>
      <c r="F443" s="89">
        <v>900</v>
      </c>
      <c r="H443" s="89">
        <v>900</v>
      </c>
      <c r="J443" s="89">
        <v>900</v>
      </c>
      <c r="K443" s="89"/>
      <c r="M443" s="80">
        <f t="shared" si="33"/>
        <v>225</v>
      </c>
      <c r="O443" s="87">
        <v>0</v>
      </c>
      <c r="P443" s="80"/>
      <c r="Q443" s="87">
        <f t="shared" si="32"/>
        <v>225</v>
      </c>
      <c r="R443" s="80"/>
      <c r="S443" s="87">
        <v>0</v>
      </c>
      <c r="T443" s="80"/>
    </row>
    <row r="444" spans="1:20" x14ac:dyDescent="0.35">
      <c r="A444" s="83" t="s">
        <v>1324</v>
      </c>
      <c r="D444" s="83" t="s">
        <v>1124</v>
      </c>
      <c r="F444" s="89">
        <v>18570</v>
      </c>
      <c r="H444" s="89">
        <v>19305</v>
      </c>
      <c r="J444" s="89">
        <f>15433+5545</f>
        <v>20978</v>
      </c>
      <c r="K444" s="89"/>
      <c r="M444" s="80">
        <f t="shared" si="33"/>
        <v>5244.5</v>
      </c>
      <c r="O444" s="87">
        <v>5066</v>
      </c>
      <c r="P444" s="80"/>
      <c r="Q444" s="87">
        <f t="shared" si="32"/>
        <v>178.5</v>
      </c>
      <c r="R444" s="80"/>
      <c r="S444" s="87">
        <v>4643</v>
      </c>
      <c r="T444" s="80"/>
    </row>
    <row r="445" spans="1:20" x14ac:dyDescent="0.35">
      <c r="A445" s="83" t="s">
        <v>1325</v>
      </c>
      <c r="D445" s="83" t="s">
        <v>2615</v>
      </c>
      <c r="F445" s="89">
        <v>14779</v>
      </c>
      <c r="H445" s="89">
        <v>13701</v>
      </c>
      <c r="J445" s="89">
        <f>11250+2908</f>
        <v>14158</v>
      </c>
      <c r="K445" s="89"/>
      <c r="M445" s="80">
        <f t="shared" si="33"/>
        <v>3539.5</v>
      </c>
      <c r="O445" s="87">
        <v>3558</v>
      </c>
      <c r="P445" s="80"/>
      <c r="Q445" s="87">
        <f t="shared" si="32"/>
        <v>-18.5</v>
      </c>
      <c r="R445" s="80"/>
      <c r="S445" s="87">
        <v>3417</v>
      </c>
      <c r="T445" s="80"/>
    </row>
    <row r="446" spans="1:20" x14ac:dyDescent="0.35">
      <c r="A446" s="83" t="s">
        <v>1326</v>
      </c>
      <c r="D446" s="83" t="s">
        <v>2245</v>
      </c>
      <c r="F446" s="84">
        <v>0</v>
      </c>
      <c r="H446" s="89">
        <v>1292</v>
      </c>
      <c r="J446" s="84">
        <v>0</v>
      </c>
      <c r="K446" s="84"/>
      <c r="M446" s="80">
        <f t="shared" si="33"/>
        <v>0</v>
      </c>
      <c r="O446" s="87">
        <v>320</v>
      </c>
      <c r="P446" s="80"/>
      <c r="Q446" s="87">
        <f t="shared" si="32"/>
        <v>-320</v>
      </c>
      <c r="R446" s="80"/>
      <c r="S446" s="87">
        <v>200</v>
      </c>
      <c r="T446" s="80"/>
    </row>
    <row r="447" spans="1:20" x14ac:dyDescent="0.35">
      <c r="A447" s="83" t="s">
        <v>1327</v>
      </c>
      <c r="D447" s="83" t="s">
        <v>2617</v>
      </c>
      <c r="F447" s="89">
        <v>5000</v>
      </c>
      <c r="H447" s="89">
        <v>3785</v>
      </c>
      <c r="J447" s="89">
        <v>5000</v>
      </c>
      <c r="K447" s="89"/>
      <c r="M447" s="80">
        <f t="shared" si="33"/>
        <v>1250</v>
      </c>
      <c r="O447" s="87">
        <v>975</v>
      </c>
      <c r="P447" s="80"/>
      <c r="Q447" s="87">
        <f t="shared" si="32"/>
        <v>275</v>
      </c>
      <c r="R447" s="80"/>
      <c r="S447" s="87">
        <v>712</v>
      </c>
      <c r="T447" s="80"/>
    </row>
    <row r="448" spans="1:20" x14ac:dyDescent="0.35">
      <c r="A448" s="83" t="s">
        <v>1328</v>
      </c>
      <c r="D448" s="83" t="s">
        <v>2619</v>
      </c>
      <c r="F448" s="89">
        <v>1333</v>
      </c>
      <c r="H448" s="89">
        <v>838</v>
      </c>
      <c r="J448" s="89">
        <v>1333</v>
      </c>
      <c r="K448" s="89"/>
      <c r="M448" s="80">
        <f t="shared" si="33"/>
        <v>333.25</v>
      </c>
      <c r="O448" s="87">
        <v>141</v>
      </c>
      <c r="P448" s="80"/>
      <c r="Q448" s="87">
        <f t="shared" si="32"/>
        <v>192.25</v>
      </c>
      <c r="R448" s="80"/>
      <c r="S448" s="87">
        <v>290</v>
      </c>
      <c r="T448" s="80"/>
    </row>
    <row r="449" spans="1:20" x14ac:dyDescent="0.35">
      <c r="A449" s="83" t="s">
        <v>1329</v>
      </c>
      <c r="D449" s="83" t="s">
        <v>2675</v>
      </c>
      <c r="F449" s="89">
        <v>2250</v>
      </c>
      <c r="H449" s="89">
        <v>952</v>
      </c>
      <c r="J449" s="89">
        <v>2250</v>
      </c>
      <c r="K449" s="89"/>
      <c r="M449" s="80">
        <f t="shared" si="33"/>
        <v>562.5</v>
      </c>
      <c r="O449" s="87">
        <v>513</v>
      </c>
      <c r="P449" s="80"/>
      <c r="Q449" s="87">
        <f t="shared" si="32"/>
        <v>49.5</v>
      </c>
      <c r="R449" s="80"/>
      <c r="S449" s="87">
        <v>182</v>
      </c>
      <c r="T449" s="80"/>
    </row>
    <row r="450" spans="1:20" x14ac:dyDescent="0.35">
      <c r="A450" s="83" t="s">
        <v>1330</v>
      </c>
      <c r="D450" s="83" t="s">
        <v>2627</v>
      </c>
      <c r="F450" s="89">
        <v>1500</v>
      </c>
      <c r="H450" s="89">
        <v>582</v>
      </c>
      <c r="J450" s="89">
        <v>1500</v>
      </c>
      <c r="K450" s="89"/>
      <c r="M450" s="80">
        <f t="shared" si="33"/>
        <v>375</v>
      </c>
      <c r="O450" s="87">
        <v>0</v>
      </c>
      <c r="P450" s="80"/>
      <c r="Q450" s="87">
        <f t="shared" si="32"/>
        <v>375</v>
      </c>
      <c r="R450" s="80"/>
      <c r="S450" s="87">
        <v>0</v>
      </c>
      <c r="T450" s="80"/>
    </row>
    <row r="451" spans="1:20" x14ac:dyDescent="0.35">
      <c r="A451" s="83" t="s">
        <v>1331</v>
      </c>
      <c r="D451" s="83" t="s">
        <v>1061</v>
      </c>
      <c r="F451" s="89">
        <v>1000</v>
      </c>
      <c r="H451" s="89">
        <v>3500</v>
      </c>
      <c r="J451" s="89">
        <v>6000</v>
      </c>
      <c r="K451" s="89"/>
      <c r="M451" s="80">
        <f t="shared" si="33"/>
        <v>1500</v>
      </c>
      <c r="O451" s="87">
        <v>500</v>
      </c>
      <c r="P451" s="80"/>
      <c r="Q451" s="87">
        <f t="shared" si="32"/>
        <v>1000</v>
      </c>
      <c r="R451" s="80"/>
      <c r="S451" s="87">
        <v>250</v>
      </c>
      <c r="T451" s="80"/>
    </row>
    <row r="452" spans="1:20" x14ac:dyDescent="0.35">
      <c r="A452" s="83" t="s">
        <v>1332</v>
      </c>
      <c r="D452" s="83" t="s">
        <v>2631</v>
      </c>
      <c r="F452" s="89">
        <v>13000</v>
      </c>
      <c r="H452" s="89">
        <v>10299</v>
      </c>
      <c r="J452" s="89">
        <v>13000</v>
      </c>
      <c r="K452" s="89"/>
      <c r="M452" s="80">
        <f t="shared" si="33"/>
        <v>3250</v>
      </c>
      <c r="O452" s="87">
        <v>-2455</v>
      </c>
      <c r="P452" s="80"/>
      <c r="Q452" s="87">
        <f t="shared" si="32"/>
        <v>5705</v>
      </c>
      <c r="R452" s="80"/>
      <c r="S452" s="87">
        <v>1565</v>
      </c>
      <c r="T452" s="80"/>
    </row>
    <row r="453" spans="1:20" hidden="1" x14ac:dyDescent="0.35">
      <c r="A453" s="83" t="s">
        <v>1333</v>
      </c>
      <c r="D453" s="83" t="s">
        <v>1293</v>
      </c>
      <c r="F453" s="89">
        <v>0</v>
      </c>
      <c r="H453" s="89">
        <v>0</v>
      </c>
      <c r="J453" s="89">
        <v>0</v>
      </c>
      <c r="K453" s="89"/>
      <c r="M453" s="80">
        <f t="shared" si="33"/>
        <v>0</v>
      </c>
      <c r="O453" s="87">
        <v>0</v>
      </c>
      <c r="P453" s="80"/>
      <c r="Q453" s="87">
        <f t="shared" si="32"/>
        <v>0</v>
      </c>
      <c r="R453" s="80"/>
      <c r="S453" s="87">
        <v>0</v>
      </c>
      <c r="T453" s="80"/>
    </row>
    <row r="454" spans="1:20" x14ac:dyDescent="0.35">
      <c r="A454" s="83" t="s">
        <v>1334</v>
      </c>
      <c r="D454" s="83" t="s">
        <v>1295</v>
      </c>
      <c r="F454" s="89">
        <v>3000</v>
      </c>
      <c r="H454" s="89">
        <v>5004</v>
      </c>
      <c r="J454" s="89">
        <v>3000</v>
      </c>
      <c r="K454" s="89"/>
      <c r="M454" s="80">
        <f t="shared" si="33"/>
        <v>750</v>
      </c>
      <c r="O454" s="87">
        <v>556</v>
      </c>
      <c r="P454" s="80"/>
      <c r="Q454" s="87">
        <f t="shared" si="32"/>
        <v>194</v>
      </c>
      <c r="R454" s="80"/>
      <c r="S454" s="87">
        <v>632</v>
      </c>
      <c r="T454" s="80"/>
    </row>
    <row r="455" spans="1:20" x14ac:dyDescent="0.35">
      <c r="A455" s="83" t="s">
        <v>1335</v>
      </c>
      <c r="D455" s="83" t="s">
        <v>1297</v>
      </c>
      <c r="F455" s="89">
        <v>3000</v>
      </c>
      <c r="H455" s="89">
        <v>2950</v>
      </c>
      <c r="J455" s="89">
        <v>3000</v>
      </c>
      <c r="K455" s="89"/>
      <c r="M455" s="80">
        <f t="shared" si="33"/>
        <v>750</v>
      </c>
      <c r="O455" s="87">
        <v>0</v>
      </c>
      <c r="P455" s="80"/>
      <c r="Q455" s="87">
        <f t="shared" si="32"/>
        <v>750</v>
      </c>
      <c r="R455" s="80"/>
      <c r="S455" s="87">
        <v>600</v>
      </c>
      <c r="T455" s="80"/>
    </row>
    <row r="456" spans="1:20" hidden="1" x14ac:dyDescent="0.35">
      <c r="A456" s="83" t="s">
        <v>1336</v>
      </c>
      <c r="D456" s="83" t="s">
        <v>1337</v>
      </c>
      <c r="F456" s="89">
        <v>0</v>
      </c>
      <c r="H456" s="89">
        <v>0</v>
      </c>
      <c r="J456" s="89">
        <v>0</v>
      </c>
      <c r="K456" s="89"/>
      <c r="M456" s="89">
        <v>0</v>
      </c>
      <c r="O456" s="103">
        <v>0</v>
      </c>
      <c r="P456" s="80"/>
      <c r="Q456" s="103">
        <v>0</v>
      </c>
      <c r="R456" s="80"/>
      <c r="S456" s="103">
        <v>0</v>
      </c>
      <c r="T456" s="80"/>
    </row>
    <row r="457" spans="1:20" ht="13.9" x14ac:dyDescent="0.4">
      <c r="B457" s="83"/>
      <c r="D457" s="88" t="s">
        <v>1042</v>
      </c>
      <c r="F457" s="93">
        <f>SUM(F440:F456)</f>
        <v>168985</v>
      </c>
      <c r="H457" s="93">
        <f>SUM(H440:H456)</f>
        <v>156751</v>
      </c>
      <c r="J457" s="93">
        <f>SUM(J440:J456)</f>
        <v>170551.04800000001</v>
      </c>
      <c r="K457" s="138"/>
      <c r="M457" s="93">
        <f>SUM(M440:M456)</f>
        <v>42637.762000000002</v>
      </c>
      <c r="O457" s="94">
        <f>SUM(O440:O456)</f>
        <v>33311</v>
      </c>
      <c r="P457" s="80"/>
      <c r="Q457" s="94">
        <f>SUM(Q440:Q456)</f>
        <v>9326.7620000000006</v>
      </c>
      <c r="R457" s="80"/>
      <c r="S457" s="94">
        <f>SUM(S440:S456)</f>
        <v>35656</v>
      </c>
      <c r="T457" s="80"/>
    </row>
    <row r="458" spans="1:20" x14ac:dyDescent="0.35">
      <c r="F458" s="92"/>
      <c r="H458" s="92"/>
      <c r="J458" s="92"/>
      <c r="K458" s="92"/>
      <c r="M458" s="92"/>
      <c r="O458" s="95"/>
      <c r="P458" s="80"/>
      <c r="Q458" s="95"/>
      <c r="R458" s="80"/>
      <c r="S458" s="95"/>
      <c r="T458" s="80"/>
    </row>
    <row r="459" spans="1:20" ht="13.9" x14ac:dyDescent="0.35">
      <c r="D459" s="82" t="s">
        <v>1127</v>
      </c>
      <c r="F459" s="92"/>
      <c r="H459" s="92"/>
      <c r="J459" s="92"/>
      <c r="K459" s="92"/>
      <c r="M459" s="92"/>
      <c r="O459" s="95"/>
      <c r="P459" s="80"/>
      <c r="Q459" s="95"/>
      <c r="R459" s="80"/>
      <c r="S459" s="95"/>
      <c r="T459" s="80"/>
    </row>
    <row r="460" spans="1:20" x14ac:dyDescent="0.35">
      <c r="A460" s="83" t="s">
        <v>1338</v>
      </c>
      <c r="D460" s="83" t="s">
        <v>1122</v>
      </c>
      <c r="F460" s="89">
        <v>72365</v>
      </c>
      <c r="H460" s="89">
        <v>70865</v>
      </c>
      <c r="J460" s="89">
        <f>76978-1200</f>
        <v>75778</v>
      </c>
      <c r="K460" s="89"/>
      <c r="M460" s="80">
        <f>+J460/12*3</f>
        <v>18944.5</v>
      </c>
      <c r="O460" s="87">
        <v>18945</v>
      </c>
      <c r="P460" s="80"/>
      <c r="Q460" s="87">
        <f t="shared" ref="Q460:Q477" si="34">+M460-O460</f>
        <v>-0.5</v>
      </c>
      <c r="R460" s="80"/>
      <c r="S460" s="87">
        <v>15076</v>
      </c>
      <c r="T460" s="80"/>
    </row>
    <row r="461" spans="1:20" x14ac:dyDescent="0.35">
      <c r="A461" s="83" t="s">
        <v>1339</v>
      </c>
      <c r="D461" s="83" t="s">
        <v>1123</v>
      </c>
      <c r="F461" s="89">
        <v>28121</v>
      </c>
      <c r="H461" s="89">
        <v>28121</v>
      </c>
      <c r="J461" s="89">
        <v>29148</v>
      </c>
      <c r="K461" s="89"/>
      <c r="M461" s="80">
        <f t="shared" ref="M461:M477" si="35">+J461/12*3</f>
        <v>7287</v>
      </c>
      <c r="O461" s="87">
        <v>7287</v>
      </c>
      <c r="P461" s="80"/>
      <c r="Q461" s="87">
        <f t="shared" si="34"/>
        <v>0</v>
      </c>
      <c r="R461" s="80"/>
      <c r="S461" s="87">
        <v>7030</v>
      </c>
      <c r="T461" s="80"/>
    </row>
    <row r="462" spans="1:20" x14ac:dyDescent="0.35">
      <c r="A462" s="83" t="s">
        <v>1340</v>
      </c>
      <c r="D462" s="83" t="s">
        <v>2666</v>
      </c>
      <c r="F462" s="89">
        <f>+F461*7.65/100</f>
        <v>2151.2565000000004</v>
      </c>
      <c r="H462" s="89">
        <f>+H461*7.65/100</f>
        <v>2151.2565000000004</v>
      </c>
      <c r="J462" s="89">
        <f>+J461*7.65/100</f>
        <v>2229.8220000000001</v>
      </c>
      <c r="K462" s="89"/>
      <c r="M462" s="80">
        <f t="shared" si="35"/>
        <v>557.45550000000003</v>
      </c>
      <c r="O462" s="87">
        <v>557</v>
      </c>
      <c r="P462" s="80"/>
      <c r="Q462" s="87">
        <f t="shared" si="34"/>
        <v>0.4555000000000291</v>
      </c>
      <c r="R462" s="80"/>
      <c r="S462" s="87">
        <v>538</v>
      </c>
      <c r="T462" s="80"/>
    </row>
    <row r="463" spans="1:20" x14ac:dyDescent="0.35">
      <c r="A463" s="83" t="s">
        <v>1341</v>
      </c>
      <c r="D463" s="83" t="s">
        <v>2668</v>
      </c>
      <c r="F463" s="89">
        <v>900</v>
      </c>
      <c r="H463" s="89">
        <v>900</v>
      </c>
      <c r="J463" s="89">
        <v>900</v>
      </c>
      <c r="K463" s="89"/>
      <c r="M463" s="80">
        <f t="shared" si="35"/>
        <v>225</v>
      </c>
      <c r="O463" s="87">
        <v>0</v>
      </c>
      <c r="P463" s="80"/>
      <c r="Q463" s="87">
        <f t="shared" si="34"/>
        <v>225</v>
      </c>
      <c r="R463" s="80"/>
      <c r="S463" s="87">
        <v>0</v>
      </c>
      <c r="T463" s="80"/>
    </row>
    <row r="464" spans="1:20" x14ac:dyDescent="0.35">
      <c r="A464" s="83" t="s">
        <v>1342</v>
      </c>
      <c r="D464" s="83" t="s">
        <v>1124</v>
      </c>
      <c r="F464" s="89">
        <v>23750</v>
      </c>
      <c r="H464" s="89">
        <v>24044</v>
      </c>
      <c r="J464" s="89">
        <f>10985+15433</f>
        <v>26418</v>
      </c>
      <c r="K464" s="89"/>
      <c r="M464" s="80">
        <f t="shared" si="35"/>
        <v>6604.5</v>
      </c>
      <c r="O464" s="87">
        <v>6398</v>
      </c>
      <c r="P464" s="80"/>
      <c r="Q464" s="87">
        <f t="shared" si="34"/>
        <v>206.5</v>
      </c>
      <c r="R464" s="80"/>
      <c r="S464" s="87">
        <v>5937</v>
      </c>
      <c r="T464" s="80"/>
    </row>
    <row r="465" spans="1:20" x14ac:dyDescent="0.35">
      <c r="A465" s="83" t="s">
        <v>1343</v>
      </c>
      <c r="D465" s="83" t="s">
        <v>2615</v>
      </c>
      <c r="F465" s="89">
        <v>14532</v>
      </c>
      <c r="H465" s="89">
        <v>14275</v>
      </c>
      <c r="J465" s="89">
        <f>11250+3206</f>
        <v>14456</v>
      </c>
      <c r="K465" s="89"/>
      <c r="M465" s="80">
        <f t="shared" si="35"/>
        <v>3614</v>
      </c>
      <c r="O465" s="87">
        <v>3864</v>
      </c>
      <c r="P465" s="80"/>
      <c r="Q465" s="87">
        <f t="shared" si="34"/>
        <v>-250</v>
      </c>
      <c r="R465" s="80"/>
      <c r="S465" s="87">
        <v>3375</v>
      </c>
      <c r="T465" s="80"/>
    </row>
    <row r="466" spans="1:20" x14ac:dyDescent="0.35">
      <c r="A466" s="83" t="s">
        <v>0</v>
      </c>
      <c r="D466" s="83" t="s">
        <v>2245</v>
      </c>
      <c r="F466" s="84">
        <v>0</v>
      </c>
      <c r="H466" s="89">
        <v>140</v>
      </c>
      <c r="J466" s="84">
        <v>0</v>
      </c>
      <c r="K466" s="84"/>
      <c r="M466" s="80">
        <f t="shared" si="35"/>
        <v>0</v>
      </c>
      <c r="O466" s="87">
        <v>54</v>
      </c>
      <c r="P466" s="80"/>
      <c r="Q466" s="87">
        <f t="shared" si="34"/>
        <v>-54</v>
      </c>
      <c r="R466" s="80"/>
      <c r="S466" s="87">
        <v>140</v>
      </c>
      <c r="T466" s="80"/>
    </row>
    <row r="467" spans="1:20" x14ac:dyDescent="0.35">
      <c r="A467" s="83" t="s">
        <v>1</v>
      </c>
      <c r="D467" s="83" t="s">
        <v>2758</v>
      </c>
      <c r="F467" s="89">
        <v>5000</v>
      </c>
      <c r="H467" s="89">
        <v>3935</v>
      </c>
      <c r="J467" s="89">
        <v>5000</v>
      </c>
      <c r="K467" s="89"/>
      <c r="M467" s="80">
        <f t="shared" si="35"/>
        <v>1250</v>
      </c>
      <c r="O467" s="87">
        <v>1168</v>
      </c>
      <c r="P467" s="80"/>
      <c r="Q467" s="87">
        <f t="shared" si="34"/>
        <v>82</v>
      </c>
      <c r="R467" s="80"/>
      <c r="S467" s="87">
        <v>718</v>
      </c>
      <c r="T467" s="80"/>
    </row>
    <row r="468" spans="1:20" hidden="1" x14ac:dyDescent="0.35">
      <c r="A468" s="83" t="s">
        <v>2</v>
      </c>
      <c r="D468" s="83" t="s">
        <v>3</v>
      </c>
      <c r="F468" s="89">
        <v>0</v>
      </c>
      <c r="H468" s="89">
        <v>0</v>
      </c>
      <c r="J468" s="89">
        <v>0</v>
      </c>
      <c r="K468" s="89"/>
      <c r="M468" s="80">
        <f t="shared" si="35"/>
        <v>0</v>
      </c>
      <c r="O468" s="87">
        <v>0</v>
      </c>
      <c r="P468" s="80"/>
      <c r="Q468" s="87">
        <f t="shared" si="34"/>
        <v>0</v>
      </c>
      <c r="R468" s="80"/>
      <c r="S468" s="87">
        <v>0</v>
      </c>
      <c r="T468" s="80"/>
    </row>
    <row r="469" spans="1:20" x14ac:dyDescent="0.35">
      <c r="A469" s="83" t="s">
        <v>4</v>
      </c>
      <c r="D469" s="83" t="s">
        <v>2619</v>
      </c>
      <c r="F469" s="89">
        <v>1333</v>
      </c>
      <c r="H469" s="89">
        <v>663</v>
      </c>
      <c r="J469" s="89">
        <v>1333</v>
      </c>
      <c r="K469" s="89"/>
      <c r="M469" s="80">
        <f t="shared" si="35"/>
        <v>333.25</v>
      </c>
      <c r="O469" s="87">
        <v>55</v>
      </c>
      <c r="P469" s="80"/>
      <c r="Q469" s="87">
        <f t="shared" si="34"/>
        <v>278.25</v>
      </c>
      <c r="R469" s="80"/>
      <c r="S469" s="87">
        <v>288</v>
      </c>
      <c r="T469" s="80"/>
    </row>
    <row r="470" spans="1:20" x14ac:dyDescent="0.35">
      <c r="A470" s="83" t="s">
        <v>5</v>
      </c>
      <c r="D470" s="83" t="s">
        <v>1128</v>
      </c>
      <c r="F470" s="89">
        <v>2250</v>
      </c>
      <c r="H470" s="89">
        <v>1700</v>
      </c>
      <c r="J470" s="89">
        <v>2250</v>
      </c>
      <c r="K470" s="89"/>
      <c r="M470" s="80">
        <f t="shared" si="35"/>
        <v>562.5</v>
      </c>
      <c r="O470" s="87">
        <v>325</v>
      </c>
      <c r="P470" s="80"/>
      <c r="Q470" s="87">
        <f t="shared" si="34"/>
        <v>237.5</v>
      </c>
      <c r="R470" s="80"/>
      <c r="S470" s="87">
        <v>646</v>
      </c>
      <c r="T470" s="80"/>
    </row>
    <row r="471" spans="1:20" x14ac:dyDescent="0.35">
      <c r="A471" s="83" t="s">
        <v>6</v>
      </c>
      <c r="D471" s="83" t="s">
        <v>2706</v>
      </c>
      <c r="F471" s="84">
        <v>0</v>
      </c>
      <c r="H471" s="84">
        <v>0</v>
      </c>
      <c r="J471" s="84">
        <v>0</v>
      </c>
      <c r="K471" s="84"/>
      <c r="M471" s="80">
        <f t="shared" si="35"/>
        <v>0</v>
      </c>
      <c r="O471" s="87">
        <v>0</v>
      </c>
      <c r="P471" s="80"/>
      <c r="Q471" s="87">
        <f t="shared" si="34"/>
        <v>0</v>
      </c>
      <c r="R471" s="80"/>
      <c r="S471" s="87">
        <v>0</v>
      </c>
      <c r="T471" s="80"/>
    </row>
    <row r="472" spans="1:20" x14ac:dyDescent="0.35">
      <c r="A472" s="83" t="s">
        <v>75</v>
      </c>
      <c r="D472" s="83" t="s">
        <v>2627</v>
      </c>
      <c r="F472" s="89">
        <v>1500</v>
      </c>
      <c r="H472" s="89">
        <v>732</v>
      </c>
      <c r="J472" s="89">
        <v>1500</v>
      </c>
      <c r="K472" s="89"/>
      <c r="M472" s="80">
        <f t="shared" si="35"/>
        <v>375</v>
      </c>
      <c r="O472" s="87">
        <v>0</v>
      </c>
      <c r="P472" s="80"/>
      <c r="Q472" s="87">
        <f t="shared" si="34"/>
        <v>375</v>
      </c>
      <c r="R472" s="80"/>
      <c r="S472" s="87">
        <v>0</v>
      </c>
      <c r="T472" s="80"/>
    </row>
    <row r="473" spans="1:20" x14ac:dyDescent="0.35">
      <c r="A473" s="83" t="s">
        <v>76</v>
      </c>
      <c r="D473" s="83" t="s">
        <v>1061</v>
      </c>
      <c r="F473" s="89">
        <v>600</v>
      </c>
      <c r="H473" s="89">
        <v>2100</v>
      </c>
      <c r="J473" s="89">
        <v>1200</v>
      </c>
      <c r="K473" s="89"/>
      <c r="M473" s="80">
        <f t="shared" si="35"/>
        <v>300</v>
      </c>
      <c r="O473" s="87">
        <v>400</v>
      </c>
      <c r="P473" s="80"/>
      <c r="Q473" s="87">
        <f t="shared" si="34"/>
        <v>-100</v>
      </c>
      <c r="R473" s="80"/>
      <c r="S473" s="87">
        <v>150</v>
      </c>
      <c r="T473" s="80"/>
    </row>
    <row r="474" spans="1:20" hidden="1" x14ac:dyDescent="0.35">
      <c r="A474" s="83" t="s">
        <v>77</v>
      </c>
      <c r="D474" s="83" t="s">
        <v>2631</v>
      </c>
      <c r="F474" s="89">
        <v>0</v>
      </c>
      <c r="H474" s="89">
        <v>0</v>
      </c>
      <c r="J474" s="89">
        <v>0</v>
      </c>
      <c r="K474" s="89"/>
      <c r="M474" s="80">
        <f t="shared" si="35"/>
        <v>0</v>
      </c>
      <c r="O474" s="87">
        <v>0</v>
      </c>
      <c r="P474" s="80"/>
      <c r="Q474" s="87">
        <f t="shared" si="34"/>
        <v>0</v>
      </c>
      <c r="R474" s="80"/>
      <c r="S474" s="87">
        <v>0</v>
      </c>
      <c r="T474" s="80"/>
    </row>
    <row r="475" spans="1:20" x14ac:dyDescent="0.35">
      <c r="A475" s="83" t="s">
        <v>78</v>
      </c>
      <c r="D475" s="83" t="s">
        <v>2631</v>
      </c>
      <c r="F475" s="89">
        <v>13000</v>
      </c>
      <c r="H475" s="89">
        <v>11795</v>
      </c>
      <c r="J475" s="89">
        <v>13000</v>
      </c>
      <c r="K475" s="89"/>
      <c r="M475" s="80">
        <f t="shared" si="35"/>
        <v>3250</v>
      </c>
      <c r="O475" s="87">
        <f>6187+211</f>
        <v>6398</v>
      </c>
      <c r="P475" s="80"/>
      <c r="Q475" s="87">
        <f t="shared" si="34"/>
        <v>-3148</v>
      </c>
      <c r="R475" s="80"/>
      <c r="S475" s="87">
        <v>1598</v>
      </c>
      <c r="T475" s="80"/>
    </row>
    <row r="476" spans="1:20" x14ac:dyDescent="0.35">
      <c r="A476" s="83" t="s">
        <v>79</v>
      </c>
      <c r="D476" s="83" t="s">
        <v>1295</v>
      </c>
      <c r="F476" s="89">
        <v>3000</v>
      </c>
      <c r="H476" s="89">
        <v>2700</v>
      </c>
      <c r="J476" s="89">
        <v>3000</v>
      </c>
      <c r="K476" s="89"/>
      <c r="M476" s="80">
        <f t="shared" si="35"/>
        <v>750</v>
      </c>
      <c r="O476" s="87">
        <v>-1066</v>
      </c>
      <c r="P476" s="80"/>
      <c r="Q476" s="87">
        <f t="shared" si="34"/>
        <v>1816</v>
      </c>
      <c r="R476" s="80"/>
      <c r="S476" s="87">
        <v>648</v>
      </c>
      <c r="T476" s="80"/>
    </row>
    <row r="477" spans="1:20" x14ac:dyDescent="0.35">
      <c r="A477" s="83" t="s">
        <v>80</v>
      </c>
      <c r="D477" s="83" t="s">
        <v>1129</v>
      </c>
      <c r="F477" s="89">
        <v>3000</v>
      </c>
      <c r="H477" s="89">
        <f>1410+38</f>
        <v>1448</v>
      </c>
      <c r="J477" s="89">
        <v>3000</v>
      </c>
      <c r="K477" s="89"/>
      <c r="M477" s="80">
        <f t="shared" si="35"/>
        <v>750</v>
      </c>
      <c r="O477" s="87">
        <v>0</v>
      </c>
      <c r="P477" s="80"/>
      <c r="Q477" s="87">
        <f t="shared" si="34"/>
        <v>750</v>
      </c>
      <c r="R477" s="80"/>
      <c r="S477" s="87">
        <v>0</v>
      </c>
      <c r="T477" s="80"/>
    </row>
    <row r="478" spans="1:20" hidden="1" x14ac:dyDescent="0.35">
      <c r="A478" s="83" t="s">
        <v>81</v>
      </c>
      <c r="D478" s="83" t="s">
        <v>2658</v>
      </c>
      <c r="F478" s="89">
        <v>0</v>
      </c>
      <c r="H478" s="89">
        <v>0</v>
      </c>
      <c r="J478" s="89">
        <v>0</v>
      </c>
      <c r="K478" s="89"/>
      <c r="M478" s="89">
        <v>0</v>
      </c>
      <c r="O478" s="103">
        <v>0</v>
      </c>
      <c r="P478" s="80"/>
      <c r="Q478" s="103">
        <v>0</v>
      </c>
      <c r="R478" s="80"/>
      <c r="S478" s="103">
        <v>0</v>
      </c>
      <c r="T478" s="80"/>
    </row>
    <row r="479" spans="1:20" ht="13.9" x14ac:dyDescent="0.4">
      <c r="B479" s="83"/>
      <c r="D479" s="88" t="s">
        <v>1042</v>
      </c>
      <c r="F479" s="93">
        <f>SUM(F460:F478)</f>
        <v>171502.25650000002</v>
      </c>
      <c r="H479" s="93">
        <f>SUM(H460:H478)</f>
        <v>165569.25650000002</v>
      </c>
      <c r="J479" s="93">
        <f>SUM(J460:J478)</f>
        <v>179212.82199999999</v>
      </c>
      <c r="K479" s="138"/>
      <c r="M479" s="93">
        <f>SUM(M460:M478)</f>
        <v>44803.205499999996</v>
      </c>
      <c r="O479" s="94">
        <f>SUM(O460:O478)</f>
        <v>44385</v>
      </c>
      <c r="P479" s="80"/>
      <c r="Q479" s="94">
        <f>SUM(Q460:Q478)</f>
        <v>418.20550000000003</v>
      </c>
      <c r="R479" s="80"/>
      <c r="S479" s="94">
        <f>SUM(S460:S478)</f>
        <v>36144</v>
      </c>
      <c r="T479" s="80"/>
    </row>
    <row r="480" spans="1:20" x14ac:dyDescent="0.35">
      <c r="F480" s="92"/>
      <c r="H480" s="92"/>
      <c r="J480" s="92"/>
      <c r="K480" s="92"/>
      <c r="M480" s="92"/>
      <c r="O480" s="95"/>
      <c r="P480" s="80"/>
      <c r="Q480" s="95"/>
      <c r="R480" s="80"/>
      <c r="S480" s="95"/>
      <c r="T480" s="80"/>
    </row>
    <row r="481" spans="1:20" ht="13.9" x14ac:dyDescent="0.35">
      <c r="D481" s="82" t="s">
        <v>1130</v>
      </c>
      <c r="F481" s="92"/>
      <c r="H481" s="92"/>
      <c r="J481" s="92"/>
      <c r="K481" s="92"/>
      <c r="M481" s="92"/>
      <c r="O481" s="95"/>
      <c r="P481" s="80"/>
      <c r="Q481" s="95"/>
      <c r="R481" s="80"/>
      <c r="S481" s="95"/>
      <c r="T481" s="80"/>
    </row>
    <row r="482" spans="1:20" x14ac:dyDescent="0.35">
      <c r="A482" s="83" t="s">
        <v>82</v>
      </c>
      <c r="D482" s="83" t="s">
        <v>1122</v>
      </c>
      <c r="F482" s="89">
        <v>67965</v>
      </c>
      <c r="H482" s="89">
        <v>67965</v>
      </c>
      <c r="J482" s="89">
        <f>76978-5000</f>
        <v>71978</v>
      </c>
      <c r="K482" s="89"/>
      <c r="M482" s="80">
        <f>+J482/12*3</f>
        <v>17994.5</v>
      </c>
      <c r="O482" s="87">
        <v>17994</v>
      </c>
      <c r="P482" s="80"/>
      <c r="Q482" s="87">
        <f t="shared" ref="Q482:Q497" si="36">+M482-O482</f>
        <v>0.5</v>
      </c>
      <c r="R482" s="80"/>
      <c r="S482" s="87">
        <v>14159</v>
      </c>
      <c r="T482" s="80"/>
    </row>
    <row r="483" spans="1:20" x14ac:dyDescent="0.35">
      <c r="A483" s="83" t="s">
        <v>83</v>
      </c>
      <c r="D483" s="83" t="s">
        <v>1123</v>
      </c>
      <c r="F483" s="89">
        <v>30356</v>
      </c>
      <c r="H483" s="89">
        <v>30356</v>
      </c>
      <c r="J483" s="89">
        <v>31465</v>
      </c>
      <c r="K483" s="89"/>
      <c r="M483" s="80">
        <f t="shared" ref="M483:M497" si="37">+J483/12*3</f>
        <v>7866.25</v>
      </c>
      <c r="O483" s="87">
        <v>7866</v>
      </c>
      <c r="P483" s="80"/>
      <c r="Q483" s="87">
        <f t="shared" si="36"/>
        <v>0.25</v>
      </c>
      <c r="R483" s="80"/>
      <c r="S483" s="87">
        <v>7589</v>
      </c>
      <c r="T483" s="80"/>
    </row>
    <row r="484" spans="1:20" x14ac:dyDescent="0.35">
      <c r="A484" s="83" t="s">
        <v>84</v>
      </c>
      <c r="D484" s="83" t="s">
        <v>2666</v>
      </c>
      <c r="F484" s="89">
        <v>2322</v>
      </c>
      <c r="H484" s="89">
        <v>2322</v>
      </c>
      <c r="J484" s="89">
        <f>+J483*7.65/100</f>
        <v>2407.0725000000002</v>
      </c>
      <c r="K484" s="89"/>
      <c r="M484" s="80">
        <f t="shared" si="37"/>
        <v>601.76812500000005</v>
      </c>
      <c r="O484" s="87">
        <v>602</v>
      </c>
      <c r="P484" s="80"/>
      <c r="Q484" s="87">
        <f t="shared" si="36"/>
        <v>-0.23187499999994543</v>
      </c>
      <c r="R484" s="80"/>
      <c r="S484" s="87">
        <v>581</v>
      </c>
      <c r="T484" s="80"/>
    </row>
    <row r="485" spans="1:20" x14ac:dyDescent="0.35">
      <c r="A485" s="83" t="s">
        <v>85</v>
      </c>
      <c r="D485" s="83" t="s">
        <v>2668</v>
      </c>
      <c r="F485" s="89">
        <v>900</v>
      </c>
      <c r="H485" s="89">
        <v>900</v>
      </c>
      <c r="J485" s="89">
        <v>900</v>
      </c>
      <c r="K485" s="89"/>
      <c r="M485" s="80">
        <f t="shared" si="37"/>
        <v>225</v>
      </c>
      <c r="O485" s="87">
        <v>0</v>
      </c>
      <c r="P485" s="80"/>
      <c r="Q485" s="87">
        <f t="shared" si="36"/>
        <v>225</v>
      </c>
      <c r="R485" s="80"/>
      <c r="S485" s="87">
        <v>0</v>
      </c>
      <c r="T485" s="80"/>
    </row>
    <row r="486" spans="1:20" x14ac:dyDescent="0.35">
      <c r="A486" s="83" t="s">
        <v>86</v>
      </c>
      <c r="D486" s="83" t="s">
        <v>1124</v>
      </c>
      <c r="F486" s="89">
        <v>13290</v>
      </c>
      <c r="H486" s="89">
        <v>18242</v>
      </c>
      <c r="J486" s="89">
        <f>15433+13030</f>
        <v>28463</v>
      </c>
      <c r="K486" s="89"/>
      <c r="M486" s="80">
        <f t="shared" si="37"/>
        <v>7115.75</v>
      </c>
      <c r="O486" s="87">
        <v>7007</v>
      </c>
      <c r="P486" s="80"/>
      <c r="Q486" s="87">
        <f t="shared" si="36"/>
        <v>108.75</v>
      </c>
      <c r="R486" s="80"/>
      <c r="S486" s="87">
        <v>3323</v>
      </c>
      <c r="T486" s="80"/>
    </row>
    <row r="487" spans="1:20" x14ac:dyDescent="0.35">
      <c r="A487" s="83" t="s">
        <v>87</v>
      </c>
      <c r="D487" s="83" t="s">
        <v>2615</v>
      </c>
      <c r="F487" s="89">
        <v>14778</v>
      </c>
      <c r="H487" s="89">
        <v>14779</v>
      </c>
      <c r="J487" s="89">
        <f>11250+3461</f>
        <v>14711</v>
      </c>
      <c r="K487" s="89"/>
      <c r="M487" s="80">
        <f t="shared" si="37"/>
        <v>3677.75</v>
      </c>
      <c r="O487" s="87">
        <v>3925</v>
      </c>
      <c r="P487" s="80"/>
      <c r="Q487" s="87">
        <f t="shared" si="36"/>
        <v>-247.25</v>
      </c>
      <c r="R487" s="80"/>
      <c r="S487" s="87">
        <v>3416</v>
      </c>
      <c r="T487" s="80"/>
    </row>
    <row r="488" spans="1:20" x14ac:dyDescent="0.35">
      <c r="A488" s="83" t="s">
        <v>88</v>
      </c>
      <c r="D488" s="83" t="s">
        <v>2758</v>
      </c>
      <c r="F488" s="89">
        <v>5000</v>
      </c>
      <c r="H488" s="89">
        <v>1963</v>
      </c>
      <c r="J488" s="89">
        <v>5000</v>
      </c>
      <c r="K488" s="89"/>
      <c r="M488" s="80">
        <f t="shared" si="37"/>
        <v>1250</v>
      </c>
      <c r="O488" s="87">
        <v>820</v>
      </c>
      <c r="P488" s="80"/>
      <c r="Q488" s="87">
        <f t="shared" si="36"/>
        <v>430</v>
      </c>
      <c r="R488" s="80"/>
      <c r="S488" s="87">
        <v>494</v>
      </c>
      <c r="T488" s="80"/>
    </row>
    <row r="489" spans="1:20" x14ac:dyDescent="0.35">
      <c r="A489" s="83"/>
      <c r="D489" s="83" t="s">
        <v>1288</v>
      </c>
      <c r="F489" s="84">
        <v>0</v>
      </c>
      <c r="H489" s="89">
        <v>1197</v>
      </c>
      <c r="J489" s="84">
        <v>0</v>
      </c>
      <c r="K489" s="84"/>
      <c r="M489" s="80">
        <f t="shared" si="37"/>
        <v>0</v>
      </c>
      <c r="O489" s="87">
        <v>75</v>
      </c>
      <c r="P489" s="80"/>
      <c r="Q489" s="87">
        <f t="shared" si="36"/>
        <v>-75</v>
      </c>
      <c r="R489" s="80"/>
      <c r="S489" s="87">
        <v>285</v>
      </c>
      <c r="T489" s="80"/>
    </row>
    <row r="490" spans="1:20" x14ac:dyDescent="0.35">
      <c r="A490" s="83"/>
      <c r="D490" s="83" t="s">
        <v>2706</v>
      </c>
      <c r="F490" s="84">
        <v>0</v>
      </c>
      <c r="H490" s="89">
        <v>975</v>
      </c>
      <c r="J490" s="84">
        <v>0</v>
      </c>
      <c r="K490" s="84"/>
      <c r="M490" s="80">
        <f t="shared" si="37"/>
        <v>0</v>
      </c>
      <c r="O490" s="87">
        <v>713</v>
      </c>
      <c r="P490" s="80"/>
      <c r="Q490" s="87">
        <f t="shared" si="36"/>
        <v>-713</v>
      </c>
      <c r="R490" s="80"/>
      <c r="S490" s="87">
        <v>300</v>
      </c>
      <c r="T490" s="80"/>
    </row>
    <row r="491" spans="1:20" x14ac:dyDescent="0.35">
      <c r="A491" s="83" t="s">
        <v>89</v>
      </c>
      <c r="D491" s="83" t="s">
        <v>2619</v>
      </c>
      <c r="F491" s="89">
        <v>1333</v>
      </c>
      <c r="H491" s="89">
        <v>1042</v>
      </c>
      <c r="J491" s="89">
        <v>1333</v>
      </c>
      <c r="K491" s="89"/>
      <c r="M491" s="80">
        <f t="shared" si="37"/>
        <v>333.25</v>
      </c>
      <c r="O491" s="87">
        <v>116</v>
      </c>
      <c r="P491" s="80"/>
      <c r="Q491" s="87">
        <f t="shared" si="36"/>
        <v>217.25</v>
      </c>
      <c r="R491" s="80"/>
      <c r="S491" s="87">
        <v>0</v>
      </c>
      <c r="T491" s="80"/>
    </row>
    <row r="492" spans="1:20" x14ac:dyDescent="0.35">
      <c r="A492" s="83" t="s">
        <v>90</v>
      </c>
      <c r="D492" s="83" t="s">
        <v>2623</v>
      </c>
      <c r="F492" s="89">
        <v>2250</v>
      </c>
      <c r="H492" s="89">
        <v>812</v>
      </c>
      <c r="J492" s="89">
        <v>2250</v>
      </c>
      <c r="K492" s="89"/>
      <c r="M492" s="80">
        <f t="shared" si="37"/>
        <v>562.5</v>
      </c>
      <c r="O492" s="87">
        <v>25</v>
      </c>
      <c r="P492" s="80"/>
      <c r="Q492" s="87">
        <f t="shared" si="36"/>
        <v>537.5</v>
      </c>
      <c r="R492" s="80"/>
      <c r="S492" s="87">
        <v>198</v>
      </c>
      <c r="T492" s="80"/>
    </row>
    <row r="493" spans="1:20" x14ac:dyDescent="0.35">
      <c r="A493" s="83" t="s">
        <v>91</v>
      </c>
      <c r="D493" s="83" t="s">
        <v>2627</v>
      </c>
      <c r="F493" s="89">
        <v>1500</v>
      </c>
      <c r="H493" s="89">
        <v>582</v>
      </c>
      <c r="J493" s="89">
        <v>1500</v>
      </c>
      <c r="K493" s="89"/>
      <c r="M493" s="80">
        <f t="shared" si="37"/>
        <v>375</v>
      </c>
      <c r="O493" s="87">
        <v>151</v>
      </c>
      <c r="P493" s="80"/>
      <c r="Q493" s="87">
        <f t="shared" si="36"/>
        <v>224</v>
      </c>
      <c r="R493" s="80"/>
      <c r="S493" s="87">
        <v>0</v>
      </c>
      <c r="T493" s="80"/>
    </row>
    <row r="494" spans="1:20" x14ac:dyDescent="0.35">
      <c r="A494" s="83" t="s">
        <v>92</v>
      </c>
      <c r="D494" s="83" t="s">
        <v>1061</v>
      </c>
      <c r="F494" s="89">
        <v>5000</v>
      </c>
      <c r="H494" s="89">
        <v>5000</v>
      </c>
      <c r="J494" s="89">
        <v>5000</v>
      </c>
      <c r="K494" s="89"/>
      <c r="M494" s="80">
        <f t="shared" si="37"/>
        <v>1250</v>
      </c>
      <c r="O494" s="87">
        <v>1667</v>
      </c>
      <c r="P494" s="80"/>
      <c r="Q494" s="87">
        <f t="shared" si="36"/>
        <v>-417</v>
      </c>
      <c r="R494" s="80"/>
      <c r="S494" s="87">
        <v>1250</v>
      </c>
      <c r="T494" s="80"/>
    </row>
    <row r="495" spans="1:20" x14ac:dyDescent="0.35">
      <c r="A495" s="83" t="s">
        <v>93</v>
      </c>
      <c r="D495" s="83" t="s">
        <v>2631</v>
      </c>
      <c r="F495" s="89">
        <v>13000</v>
      </c>
      <c r="H495" s="89">
        <v>9119</v>
      </c>
      <c r="J495" s="89">
        <v>13000</v>
      </c>
      <c r="K495" s="89"/>
      <c r="M495" s="80">
        <f t="shared" si="37"/>
        <v>3250</v>
      </c>
      <c r="O495" s="87">
        <v>3234</v>
      </c>
      <c r="P495" s="80"/>
      <c r="Q495" s="87">
        <f t="shared" si="36"/>
        <v>16</v>
      </c>
      <c r="R495" s="80"/>
      <c r="S495" s="87">
        <v>378</v>
      </c>
      <c r="T495" s="80"/>
    </row>
    <row r="496" spans="1:20" x14ac:dyDescent="0.35">
      <c r="A496" s="83" t="s">
        <v>94</v>
      </c>
      <c r="D496" s="83" t="s">
        <v>1295</v>
      </c>
      <c r="F496" s="89">
        <v>3000</v>
      </c>
      <c r="H496" s="89">
        <v>9093</v>
      </c>
      <c r="J496" s="89">
        <v>3000</v>
      </c>
      <c r="K496" s="89"/>
      <c r="M496" s="80">
        <f t="shared" si="37"/>
        <v>750</v>
      </c>
      <c r="O496" s="87">
        <v>226</v>
      </c>
      <c r="P496" s="80"/>
      <c r="Q496" s="87">
        <f t="shared" si="36"/>
        <v>524</v>
      </c>
      <c r="R496" s="80"/>
      <c r="S496" s="87">
        <v>2227</v>
      </c>
      <c r="T496" s="80"/>
    </row>
    <row r="497" spans="1:20" x14ac:dyDescent="0.35">
      <c r="A497" s="83" t="s">
        <v>95</v>
      </c>
      <c r="D497" s="83" t="s">
        <v>1297</v>
      </c>
      <c r="F497" s="89">
        <v>3000</v>
      </c>
      <c r="H497" s="89">
        <v>0</v>
      </c>
      <c r="J497" s="89">
        <v>3000</v>
      </c>
      <c r="K497" s="89"/>
      <c r="M497" s="80">
        <f t="shared" si="37"/>
        <v>750</v>
      </c>
      <c r="O497" s="87">
        <v>1000</v>
      </c>
      <c r="P497" s="80"/>
      <c r="Q497" s="87">
        <f t="shared" si="36"/>
        <v>-250</v>
      </c>
      <c r="R497" s="80"/>
      <c r="S497" s="87">
        <v>0</v>
      </c>
      <c r="T497" s="80"/>
    </row>
    <row r="498" spans="1:20" hidden="1" x14ac:dyDescent="0.35">
      <c r="A498" s="83" t="s">
        <v>96</v>
      </c>
      <c r="D498" s="83" t="s">
        <v>97</v>
      </c>
      <c r="F498" s="89">
        <v>0</v>
      </c>
      <c r="H498" s="89">
        <v>0</v>
      </c>
      <c r="J498" s="89">
        <v>0</v>
      </c>
      <c r="K498" s="89"/>
      <c r="M498" s="89">
        <v>0</v>
      </c>
      <c r="O498" s="103">
        <v>0</v>
      </c>
      <c r="P498" s="80"/>
      <c r="Q498" s="103">
        <v>0</v>
      </c>
      <c r="R498" s="80"/>
      <c r="S498" s="103">
        <v>0</v>
      </c>
      <c r="T498" s="80"/>
    </row>
    <row r="499" spans="1:20" ht="13.9" x14ac:dyDescent="0.4">
      <c r="B499" s="83"/>
      <c r="D499" s="88" t="s">
        <v>1042</v>
      </c>
      <c r="F499" s="93">
        <f>SUM(F482:F498)</f>
        <v>163694</v>
      </c>
      <c r="H499" s="93">
        <f>SUM(H482:H498)</f>
        <v>164347</v>
      </c>
      <c r="J499" s="93">
        <f>SUM(J482:J498)</f>
        <v>184007.07250000001</v>
      </c>
      <c r="K499" s="138"/>
      <c r="M499" s="93">
        <f>SUM(M482:M498)</f>
        <v>46001.768125000002</v>
      </c>
      <c r="O499" s="94">
        <f>SUM(O482:O498)</f>
        <v>45421</v>
      </c>
      <c r="P499" s="80"/>
      <c r="Q499" s="94">
        <f>SUM(Q482:Q498)</f>
        <v>580.76812500000005</v>
      </c>
      <c r="R499" s="80"/>
      <c r="S499" s="94">
        <f>SUM(S482:S498)</f>
        <v>34200</v>
      </c>
      <c r="T499" s="80"/>
    </row>
    <row r="500" spans="1:20" x14ac:dyDescent="0.35">
      <c r="F500" s="92"/>
      <c r="H500" s="92"/>
      <c r="J500" s="92"/>
      <c r="K500" s="92"/>
      <c r="M500" s="92"/>
      <c r="O500" s="95"/>
      <c r="P500" s="80"/>
      <c r="Q500" s="95"/>
      <c r="R500" s="80"/>
      <c r="S500" s="95"/>
      <c r="T500" s="80"/>
    </row>
    <row r="501" spans="1:20" ht="13.9" x14ac:dyDescent="0.35">
      <c r="D501" s="82" t="s">
        <v>1131</v>
      </c>
      <c r="F501" s="92"/>
      <c r="H501" s="92"/>
      <c r="J501" s="92"/>
      <c r="K501" s="92"/>
      <c r="M501" s="92"/>
      <c r="O501" s="95"/>
      <c r="P501" s="80"/>
      <c r="Q501" s="95"/>
      <c r="R501" s="80"/>
      <c r="S501" s="95"/>
      <c r="T501" s="80"/>
    </row>
    <row r="502" spans="1:20" x14ac:dyDescent="0.35">
      <c r="A502" s="83" t="s">
        <v>98</v>
      </c>
      <c r="D502" s="83" t="s">
        <v>1122</v>
      </c>
      <c r="F502" s="89">
        <v>61829</v>
      </c>
      <c r="H502" s="89">
        <v>61829</v>
      </c>
      <c r="J502" s="89">
        <f>98990-32000</f>
        <v>66990</v>
      </c>
      <c r="K502" s="89"/>
      <c r="M502" s="80">
        <f>+J502/12*3</f>
        <v>16747.5</v>
      </c>
      <c r="O502" s="87">
        <v>16748</v>
      </c>
      <c r="P502" s="80"/>
      <c r="Q502" s="87">
        <f t="shared" ref="Q502:Q518" si="38">+M502-O502</f>
        <v>-0.5</v>
      </c>
      <c r="R502" s="80"/>
      <c r="S502" s="87">
        <v>13856</v>
      </c>
      <c r="T502" s="80"/>
    </row>
    <row r="503" spans="1:20" x14ac:dyDescent="0.35">
      <c r="A503" s="83" t="s">
        <v>99</v>
      </c>
      <c r="D503" s="83" t="s">
        <v>1123</v>
      </c>
      <c r="F503" s="89">
        <v>31105</v>
      </c>
      <c r="H503" s="89">
        <v>31105</v>
      </c>
      <c r="J503" s="89">
        <v>32242</v>
      </c>
      <c r="K503" s="89"/>
      <c r="M503" s="80">
        <f t="shared" ref="M503:M517" si="39">+J503/12*3</f>
        <v>8060.5</v>
      </c>
      <c r="O503" s="87">
        <v>8061</v>
      </c>
      <c r="P503" s="80"/>
      <c r="Q503" s="87">
        <f t="shared" si="38"/>
        <v>-0.5</v>
      </c>
      <c r="R503" s="80"/>
      <c r="S503" s="87">
        <v>7776</v>
      </c>
      <c r="T503" s="80"/>
    </row>
    <row r="504" spans="1:20" x14ac:dyDescent="0.35">
      <c r="A504" s="83" t="s">
        <v>100</v>
      </c>
      <c r="D504" s="83" t="s">
        <v>2666</v>
      </c>
      <c r="F504" s="89">
        <f>+F503*7.65/100</f>
        <v>2379.5324999999998</v>
      </c>
      <c r="H504" s="89">
        <v>2379</v>
      </c>
      <c r="J504" s="89">
        <f>+J503*7.65/100</f>
        <v>2466.5130000000004</v>
      </c>
      <c r="K504" s="89"/>
      <c r="M504" s="80">
        <f t="shared" si="39"/>
        <v>616.62825000000009</v>
      </c>
      <c r="O504" s="87">
        <v>617</v>
      </c>
      <c r="P504" s="80"/>
      <c r="Q504" s="87">
        <f t="shared" si="38"/>
        <v>-0.37174999999990632</v>
      </c>
      <c r="R504" s="80"/>
      <c r="S504" s="87">
        <v>595</v>
      </c>
      <c r="T504" s="80"/>
    </row>
    <row r="505" spans="1:20" x14ac:dyDescent="0.35">
      <c r="A505" s="83" t="s">
        <v>101</v>
      </c>
      <c r="D505" s="83" t="s">
        <v>2668</v>
      </c>
      <c r="F505" s="89">
        <v>900</v>
      </c>
      <c r="H505" s="89">
        <v>900</v>
      </c>
      <c r="J505" s="89">
        <v>900</v>
      </c>
      <c r="K505" s="89"/>
      <c r="M505" s="80">
        <f t="shared" si="39"/>
        <v>225</v>
      </c>
      <c r="O505" s="87">
        <v>0</v>
      </c>
      <c r="P505" s="80"/>
      <c r="Q505" s="87">
        <f t="shared" si="38"/>
        <v>225</v>
      </c>
      <c r="R505" s="80"/>
      <c r="S505" s="87">
        <v>0</v>
      </c>
      <c r="T505" s="80"/>
    </row>
    <row r="506" spans="1:20" x14ac:dyDescent="0.35">
      <c r="A506" s="83" t="s">
        <v>102</v>
      </c>
      <c r="D506" s="83" t="s">
        <v>1124</v>
      </c>
      <c r="F506" s="89">
        <v>25272</v>
      </c>
      <c r="H506" s="89">
        <v>27135</v>
      </c>
      <c r="J506" s="89">
        <f>13715+15433</f>
        <v>29148</v>
      </c>
      <c r="K506" s="89"/>
      <c r="M506" s="80">
        <f t="shared" si="39"/>
        <v>7287</v>
      </c>
      <c r="O506" s="87">
        <v>7146</v>
      </c>
      <c r="P506" s="80"/>
      <c r="Q506" s="87">
        <f t="shared" si="38"/>
        <v>141</v>
      </c>
      <c r="R506" s="80"/>
      <c r="S506" s="87">
        <v>6588</v>
      </c>
      <c r="T506" s="80"/>
    </row>
    <row r="507" spans="1:20" x14ac:dyDescent="0.35">
      <c r="A507" s="83" t="s">
        <v>103</v>
      </c>
      <c r="D507" s="83" t="s">
        <v>2615</v>
      </c>
      <c r="F507" s="89">
        <v>15019</v>
      </c>
      <c r="H507" s="89">
        <v>15018</v>
      </c>
      <c r="J507" s="89">
        <f>12000+3547</f>
        <v>15547</v>
      </c>
      <c r="K507" s="89"/>
      <c r="M507" s="80">
        <f t="shared" si="39"/>
        <v>3886.75</v>
      </c>
      <c r="O507" s="87">
        <v>3987</v>
      </c>
      <c r="P507" s="80"/>
      <c r="Q507" s="87">
        <f t="shared" si="38"/>
        <v>-100.25</v>
      </c>
      <c r="R507" s="80"/>
      <c r="S507" s="87">
        <v>3469</v>
      </c>
      <c r="T507" s="80"/>
    </row>
    <row r="508" spans="1:20" x14ac:dyDescent="0.35">
      <c r="A508" s="83" t="s">
        <v>104</v>
      </c>
      <c r="D508" s="83" t="s">
        <v>1288</v>
      </c>
      <c r="F508" s="84">
        <v>0</v>
      </c>
      <c r="H508" s="89">
        <v>1985</v>
      </c>
      <c r="J508" s="84">
        <v>0</v>
      </c>
      <c r="K508" s="84"/>
      <c r="M508" s="80">
        <f t="shared" si="39"/>
        <v>0</v>
      </c>
      <c r="O508" s="87">
        <v>511</v>
      </c>
      <c r="P508" s="80"/>
      <c r="Q508" s="87">
        <f t="shared" si="38"/>
        <v>-511</v>
      </c>
      <c r="R508" s="80"/>
      <c r="S508" s="87">
        <v>272</v>
      </c>
      <c r="T508" s="80"/>
    </row>
    <row r="509" spans="1:20" x14ac:dyDescent="0.35">
      <c r="A509" s="83"/>
      <c r="D509" s="83" t="s">
        <v>2706</v>
      </c>
      <c r="F509" s="84">
        <v>0</v>
      </c>
      <c r="H509" s="89">
        <v>532</v>
      </c>
      <c r="J509" s="84">
        <v>0</v>
      </c>
      <c r="K509" s="84"/>
      <c r="M509" s="80">
        <f t="shared" si="39"/>
        <v>0</v>
      </c>
      <c r="O509" s="87">
        <v>104</v>
      </c>
      <c r="P509" s="80"/>
      <c r="Q509" s="87">
        <f t="shared" si="38"/>
        <v>-104</v>
      </c>
      <c r="R509" s="80"/>
      <c r="S509" s="87">
        <v>92</v>
      </c>
      <c r="T509" s="80"/>
    </row>
    <row r="510" spans="1:20" x14ac:dyDescent="0.35">
      <c r="A510" s="83" t="s">
        <v>105</v>
      </c>
      <c r="D510" s="83" t="s">
        <v>2617</v>
      </c>
      <c r="F510" s="89">
        <v>5000</v>
      </c>
      <c r="H510" s="89">
        <v>4792</v>
      </c>
      <c r="J510" s="89">
        <v>5000</v>
      </c>
      <c r="K510" s="89"/>
      <c r="M510" s="80">
        <f t="shared" si="39"/>
        <v>1250</v>
      </c>
      <c r="O510" s="87">
        <v>1285</v>
      </c>
      <c r="P510" s="80"/>
      <c r="Q510" s="87">
        <f t="shared" si="38"/>
        <v>-35</v>
      </c>
      <c r="R510" s="80"/>
      <c r="S510" s="87">
        <v>1045</v>
      </c>
      <c r="T510" s="80"/>
    </row>
    <row r="511" spans="1:20" x14ac:dyDescent="0.35">
      <c r="A511" s="83" t="s">
        <v>106</v>
      </c>
      <c r="D511" s="83" t="s">
        <v>2619</v>
      </c>
      <c r="F511" s="89">
        <v>1335</v>
      </c>
      <c r="H511" s="89">
        <v>970</v>
      </c>
      <c r="J511" s="89">
        <v>1335</v>
      </c>
      <c r="K511" s="89"/>
      <c r="M511" s="80">
        <f t="shared" si="39"/>
        <v>333.75</v>
      </c>
      <c r="O511" s="87">
        <v>102</v>
      </c>
      <c r="P511" s="80"/>
      <c r="Q511" s="87">
        <f t="shared" si="38"/>
        <v>231.75</v>
      </c>
      <c r="R511" s="80"/>
      <c r="S511" s="87">
        <v>256</v>
      </c>
      <c r="T511" s="80"/>
    </row>
    <row r="512" spans="1:20" x14ac:dyDescent="0.35">
      <c r="A512" s="83" t="s">
        <v>107</v>
      </c>
      <c r="D512" s="83" t="s">
        <v>2623</v>
      </c>
      <c r="F512" s="89">
        <v>2250</v>
      </c>
      <c r="H512" s="89">
        <v>1790</v>
      </c>
      <c r="J512" s="89">
        <v>2250</v>
      </c>
      <c r="K512" s="89"/>
      <c r="M512" s="80">
        <f t="shared" si="39"/>
        <v>562.5</v>
      </c>
      <c r="O512" s="87">
        <v>694</v>
      </c>
      <c r="P512" s="80"/>
      <c r="Q512" s="87">
        <f t="shared" si="38"/>
        <v>-131.5</v>
      </c>
      <c r="R512" s="80"/>
      <c r="S512" s="87">
        <v>512</v>
      </c>
      <c r="T512" s="80"/>
    </row>
    <row r="513" spans="1:20" x14ac:dyDescent="0.35">
      <c r="A513" s="83" t="s">
        <v>108</v>
      </c>
      <c r="D513" s="83" t="s">
        <v>2627</v>
      </c>
      <c r="F513" s="89">
        <v>1500</v>
      </c>
      <c r="H513" s="89">
        <v>582</v>
      </c>
      <c r="J513" s="89">
        <v>1500</v>
      </c>
      <c r="K513" s="89"/>
      <c r="M513" s="80">
        <f t="shared" si="39"/>
        <v>375</v>
      </c>
      <c r="O513" s="87">
        <v>0</v>
      </c>
      <c r="P513" s="80"/>
      <c r="Q513" s="87">
        <f t="shared" si="38"/>
        <v>375</v>
      </c>
      <c r="R513" s="80"/>
      <c r="S513" s="87">
        <v>0</v>
      </c>
      <c r="T513" s="80"/>
    </row>
    <row r="514" spans="1:20" x14ac:dyDescent="0.35">
      <c r="A514" s="83" t="s">
        <v>109</v>
      </c>
      <c r="D514" s="83" t="s">
        <v>1061</v>
      </c>
      <c r="F514" s="89">
        <v>22375</v>
      </c>
      <c r="H514" s="89">
        <v>22375</v>
      </c>
      <c r="J514" s="89">
        <v>32000</v>
      </c>
      <c r="K514" s="89"/>
      <c r="M514" s="80">
        <f t="shared" si="39"/>
        <v>8000</v>
      </c>
      <c r="O514" s="87">
        <v>8260</v>
      </c>
      <c r="P514" s="80"/>
      <c r="Q514" s="87">
        <f t="shared" si="38"/>
        <v>-260</v>
      </c>
      <c r="R514" s="80"/>
      <c r="S514" s="87">
        <v>4994</v>
      </c>
      <c r="T514" s="80"/>
    </row>
    <row r="515" spans="1:20" hidden="1" x14ac:dyDescent="0.35">
      <c r="A515" s="83" t="s">
        <v>110</v>
      </c>
      <c r="D515" s="83" t="s">
        <v>2791</v>
      </c>
      <c r="F515" s="89">
        <v>0</v>
      </c>
      <c r="H515" s="89">
        <v>0</v>
      </c>
      <c r="J515" s="89">
        <v>0</v>
      </c>
      <c r="K515" s="89"/>
      <c r="M515" s="80">
        <f t="shared" si="39"/>
        <v>0</v>
      </c>
      <c r="O515" s="87">
        <v>0</v>
      </c>
      <c r="P515" s="80"/>
      <c r="Q515" s="87">
        <f t="shared" si="38"/>
        <v>0</v>
      </c>
      <c r="R515" s="80"/>
      <c r="S515" s="87">
        <v>0</v>
      </c>
      <c r="T515" s="80"/>
    </row>
    <row r="516" spans="1:20" x14ac:dyDescent="0.35">
      <c r="A516" s="83" t="s">
        <v>111</v>
      </c>
      <c r="D516" s="83" t="s">
        <v>2631</v>
      </c>
      <c r="F516" s="89">
        <v>13000</v>
      </c>
      <c r="H516" s="89">
        <v>14723</v>
      </c>
      <c r="J516" s="89">
        <v>13000</v>
      </c>
      <c r="K516" s="89"/>
      <c r="M516" s="80">
        <f t="shared" si="39"/>
        <v>3250</v>
      </c>
      <c r="O516" s="87">
        <v>2159</v>
      </c>
      <c r="P516" s="80"/>
      <c r="Q516" s="87">
        <f t="shared" si="38"/>
        <v>1091</v>
      </c>
      <c r="R516" s="80"/>
      <c r="S516" s="87">
        <v>3269</v>
      </c>
      <c r="T516" s="80"/>
    </row>
    <row r="517" spans="1:20" x14ac:dyDescent="0.35">
      <c r="A517" s="83" t="s">
        <v>112</v>
      </c>
      <c r="D517" s="83" t="s">
        <v>1295</v>
      </c>
      <c r="F517" s="89">
        <v>3000</v>
      </c>
      <c r="H517" s="89">
        <v>4141</v>
      </c>
      <c r="J517" s="89">
        <v>3000</v>
      </c>
      <c r="K517" s="89"/>
      <c r="M517" s="80">
        <f t="shared" si="39"/>
        <v>750</v>
      </c>
      <c r="O517" s="87">
        <v>60</v>
      </c>
      <c r="P517" s="80"/>
      <c r="Q517" s="87">
        <f t="shared" si="38"/>
        <v>690</v>
      </c>
      <c r="R517" s="80"/>
      <c r="S517" s="87">
        <v>576</v>
      </c>
      <c r="T517" s="80"/>
    </row>
    <row r="518" spans="1:20" x14ac:dyDescent="0.35">
      <c r="A518" s="83" t="s">
        <v>113</v>
      </c>
      <c r="D518" s="83" t="s">
        <v>1132</v>
      </c>
      <c r="F518" s="89">
        <v>3000</v>
      </c>
      <c r="H518" s="89">
        <v>75</v>
      </c>
      <c r="J518" s="89">
        <v>3000</v>
      </c>
      <c r="K518" s="89"/>
      <c r="M518" s="80">
        <f>+J518/12*3</f>
        <v>750</v>
      </c>
      <c r="O518" s="87">
        <v>0</v>
      </c>
      <c r="P518" s="80"/>
      <c r="Q518" s="87">
        <f t="shared" si="38"/>
        <v>750</v>
      </c>
      <c r="R518" s="80"/>
      <c r="S518" s="87">
        <v>0</v>
      </c>
      <c r="T518" s="80"/>
    </row>
    <row r="519" spans="1:20" hidden="1" x14ac:dyDescent="0.35">
      <c r="A519" s="83" t="s">
        <v>114</v>
      </c>
      <c r="D519" s="83" t="s">
        <v>115</v>
      </c>
      <c r="F519" s="89">
        <v>0</v>
      </c>
      <c r="H519" s="89">
        <v>0</v>
      </c>
      <c r="J519" s="89">
        <v>0</v>
      </c>
      <c r="K519" s="89"/>
      <c r="M519" s="89">
        <v>0</v>
      </c>
      <c r="O519" s="103">
        <v>0</v>
      </c>
      <c r="P519" s="80"/>
      <c r="Q519" s="103">
        <v>0</v>
      </c>
      <c r="R519" s="80"/>
      <c r="S519" s="103">
        <v>0</v>
      </c>
      <c r="T519" s="80"/>
    </row>
    <row r="520" spans="1:20" ht="13.9" x14ac:dyDescent="0.4">
      <c r="B520" s="83"/>
      <c r="D520" s="88" t="s">
        <v>1042</v>
      </c>
      <c r="F520" s="93">
        <f>SUM(F502:F519)</f>
        <v>187964.5325</v>
      </c>
      <c r="H520" s="93">
        <f>SUM(H502:H519)</f>
        <v>190331</v>
      </c>
      <c r="J520" s="93">
        <f>SUM(J502:J519)</f>
        <v>208378.51300000001</v>
      </c>
      <c r="K520" s="138"/>
      <c r="M520" s="93">
        <f>SUM(M502:M519)</f>
        <v>52094.628250000002</v>
      </c>
      <c r="O520" s="94">
        <f>SUM(O502:O519)</f>
        <v>49734</v>
      </c>
      <c r="P520" s="80"/>
      <c r="Q520" s="94">
        <f>SUM(Q502:Q519)</f>
        <v>2360.6282500000002</v>
      </c>
      <c r="R520" s="80"/>
      <c r="S520" s="94">
        <f>SUM(S502:S519)</f>
        <v>43300</v>
      </c>
      <c r="T520" s="80"/>
    </row>
    <row r="521" spans="1:20" x14ac:dyDescent="0.35">
      <c r="F521" s="92"/>
      <c r="H521" s="92"/>
      <c r="J521" s="92"/>
      <c r="K521" s="92"/>
      <c r="M521" s="92"/>
      <c r="O521" s="95"/>
      <c r="P521" s="80"/>
      <c r="Q521" s="95"/>
      <c r="R521" s="80"/>
      <c r="S521" s="95"/>
      <c r="T521" s="80"/>
    </row>
    <row r="522" spans="1:20" ht="13.9" x14ac:dyDescent="0.35">
      <c r="D522" s="82" t="s">
        <v>1133</v>
      </c>
      <c r="F522" s="92"/>
      <c r="H522" s="92"/>
      <c r="J522" s="92"/>
      <c r="K522" s="92"/>
      <c r="M522" s="92"/>
      <c r="O522" s="95"/>
      <c r="P522" s="80"/>
      <c r="Q522" s="95"/>
      <c r="R522" s="80"/>
      <c r="S522" s="95"/>
      <c r="T522" s="80"/>
    </row>
    <row r="523" spans="1:20" hidden="1" x14ac:dyDescent="0.35">
      <c r="A523" s="83" t="s">
        <v>116</v>
      </c>
      <c r="D523" s="83" t="s">
        <v>117</v>
      </c>
      <c r="F523" s="89">
        <v>0</v>
      </c>
      <c r="H523" s="89">
        <v>0</v>
      </c>
      <c r="J523" s="89">
        <v>0</v>
      </c>
      <c r="K523" s="89"/>
      <c r="M523" s="89">
        <v>0</v>
      </c>
      <c r="O523" s="103">
        <v>0</v>
      </c>
      <c r="P523" s="80"/>
      <c r="Q523" s="103">
        <v>0</v>
      </c>
      <c r="R523" s="80"/>
      <c r="S523" s="103">
        <v>0</v>
      </c>
      <c r="T523" s="80"/>
    </row>
    <row r="524" spans="1:20" hidden="1" x14ac:dyDescent="0.35">
      <c r="A524" s="83" t="s">
        <v>118</v>
      </c>
      <c r="D524" s="83" t="s">
        <v>119</v>
      </c>
      <c r="F524" s="89">
        <v>0</v>
      </c>
      <c r="H524" s="89">
        <v>0</v>
      </c>
      <c r="J524" s="89">
        <v>0</v>
      </c>
      <c r="K524" s="89"/>
      <c r="M524" s="89">
        <v>0</v>
      </c>
      <c r="O524" s="103">
        <v>0</v>
      </c>
      <c r="P524" s="80"/>
      <c r="Q524" s="103">
        <v>0</v>
      </c>
      <c r="R524" s="80"/>
      <c r="S524" s="103">
        <v>0</v>
      </c>
      <c r="T524" s="80"/>
    </row>
    <row r="525" spans="1:20" hidden="1" x14ac:dyDescent="0.35">
      <c r="A525" s="83" t="s">
        <v>120</v>
      </c>
      <c r="D525" s="83" t="s">
        <v>121</v>
      </c>
      <c r="F525" s="89">
        <v>0</v>
      </c>
      <c r="H525" s="89">
        <v>0</v>
      </c>
      <c r="J525" s="89">
        <v>0</v>
      </c>
      <c r="K525" s="89"/>
      <c r="M525" s="89">
        <v>0</v>
      </c>
      <c r="O525" s="103">
        <v>0</v>
      </c>
      <c r="P525" s="80"/>
      <c r="Q525" s="103">
        <v>0</v>
      </c>
      <c r="R525" s="80"/>
      <c r="S525" s="103">
        <v>0</v>
      </c>
      <c r="T525" s="80"/>
    </row>
    <row r="526" spans="1:20" hidden="1" x14ac:dyDescent="0.35">
      <c r="A526" s="83" t="s">
        <v>122</v>
      </c>
      <c r="D526" s="83" t="s">
        <v>123</v>
      </c>
      <c r="F526" s="89">
        <v>0</v>
      </c>
      <c r="H526" s="89">
        <v>0</v>
      </c>
      <c r="J526" s="89">
        <v>0</v>
      </c>
      <c r="K526" s="89"/>
      <c r="M526" s="89">
        <v>0</v>
      </c>
      <c r="O526" s="103">
        <v>0</v>
      </c>
      <c r="P526" s="80"/>
      <c r="Q526" s="103">
        <v>0</v>
      </c>
      <c r="R526" s="80"/>
      <c r="S526" s="103">
        <v>0</v>
      </c>
      <c r="T526" s="80"/>
    </row>
    <row r="527" spans="1:20" hidden="1" x14ac:dyDescent="0.35">
      <c r="A527" s="83" t="s">
        <v>124</v>
      </c>
      <c r="D527" s="83" t="s">
        <v>125</v>
      </c>
      <c r="F527" s="89">
        <v>0</v>
      </c>
      <c r="H527" s="89">
        <v>0</v>
      </c>
      <c r="J527" s="89">
        <v>0</v>
      </c>
      <c r="K527" s="89"/>
      <c r="M527" s="89">
        <v>0</v>
      </c>
      <c r="O527" s="103">
        <v>0</v>
      </c>
      <c r="P527" s="80"/>
      <c r="Q527" s="103">
        <v>0</v>
      </c>
      <c r="R527" s="80"/>
      <c r="S527" s="103">
        <v>0</v>
      </c>
      <c r="T527" s="80"/>
    </row>
    <row r="528" spans="1:20" x14ac:dyDescent="0.35">
      <c r="A528" s="83" t="s">
        <v>126</v>
      </c>
      <c r="D528" s="83" t="s">
        <v>2655</v>
      </c>
      <c r="F528" s="89">
        <v>15000</v>
      </c>
      <c r="H528" s="89">
        <v>12332</v>
      </c>
      <c r="J528" s="89">
        <v>15000</v>
      </c>
      <c r="K528" s="89"/>
      <c r="M528" s="80">
        <f>+J528/12*3</f>
        <v>3750</v>
      </c>
      <c r="O528" s="87">
        <v>2186</v>
      </c>
      <c r="P528" s="80"/>
      <c r="Q528" s="87">
        <f>+M528-O528</f>
        <v>1564</v>
      </c>
      <c r="R528" s="80"/>
      <c r="S528" s="87">
        <v>0</v>
      </c>
      <c r="T528" s="80"/>
    </row>
    <row r="529" spans="1:20" x14ac:dyDescent="0.35">
      <c r="A529" s="83"/>
      <c r="D529" s="83" t="s">
        <v>2177</v>
      </c>
      <c r="F529" s="87">
        <v>0</v>
      </c>
      <c r="H529" s="87">
        <v>0</v>
      </c>
      <c r="J529" s="87">
        <v>0</v>
      </c>
      <c r="K529" s="87"/>
      <c r="M529" s="80">
        <f>+J529/12*3</f>
        <v>0</v>
      </c>
      <c r="O529" s="87">
        <v>2466</v>
      </c>
      <c r="P529" s="80"/>
      <c r="Q529" s="87">
        <f>+M529-O529</f>
        <v>-2466</v>
      </c>
      <c r="R529" s="80"/>
      <c r="S529" s="87">
        <v>1200</v>
      </c>
      <c r="T529" s="80"/>
    </row>
    <row r="530" spans="1:20" x14ac:dyDescent="0.35">
      <c r="A530" s="83" t="s">
        <v>127</v>
      </c>
      <c r="D530" s="83" t="s">
        <v>2633</v>
      </c>
      <c r="F530" s="89">
        <v>45000</v>
      </c>
      <c r="H530" s="89">
        <v>36995</v>
      </c>
      <c r="J530" s="89">
        <v>45000</v>
      </c>
      <c r="K530" s="89"/>
      <c r="M530" s="80">
        <f>+J530/12*3</f>
        <v>11250</v>
      </c>
      <c r="O530" s="87">
        <v>6000</v>
      </c>
      <c r="P530" s="80"/>
      <c r="Q530" s="87">
        <f>+M530-O530</f>
        <v>5250</v>
      </c>
      <c r="R530" s="80"/>
      <c r="S530" s="87">
        <v>18174</v>
      </c>
      <c r="T530" s="80"/>
    </row>
    <row r="531" spans="1:20" x14ac:dyDescent="0.35">
      <c r="A531" s="83" t="s">
        <v>128</v>
      </c>
      <c r="D531" s="83" t="s">
        <v>1134</v>
      </c>
      <c r="F531" s="89">
        <v>22100</v>
      </c>
      <c r="H531" s="89">
        <v>18169</v>
      </c>
      <c r="J531" s="89">
        <v>22100</v>
      </c>
      <c r="K531" s="89"/>
      <c r="M531" s="80">
        <f>+J531/12*3</f>
        <v>5525</v>
      </c>
      <c r="O531" s="87">
        <v>0</v>
      </c>
      <c r="P531" s="80"/>
      <c r="Q531" s="87">
        <f>+M531-O531</f>
        <v>5525</v>
      </c>
      <c r="R531" s="80"/>
      <c r="S531" s="87">
        <v>0</v>
      </c>
      <c r="T531" s="80"/>
    </row>
    <row r="532" spans="1:20" x14ac:dyDescent="0.35">
      <c r="A532" s="83" t="s">
        <v>129</v>
      </c>
      <c r="D532" s="83" t="s">
        <v>1135</v>
      </c>
      <c r="F532" s="87">
        <v>0</v>
      </c>
      <c r="H532" s="89">
        <v>257</v>
      </c>
      <c r="J532" s="87">
        <v>0</v>
      </c>
      <c r="K532" s="87"/>
      <c r="M532" s="80">
        <f>+J532/12*3</f>
        <v>0</v>
      </c>
      <c r="O532" s="87">
        <v>1188</v>
      </c>
      <c r="P532" s="80"/>
      <c r="Q532" s="87">
        <f>+M532-O532</f>
        <v>-1188</v>
      </c>
      <c r="R532" s="80"/>
      <c r="S532" s="87">
        <v>0</v>
      </c>
      <c r="T532" s="80"/>
    </row>
    <row r="533" spans="1:20" ht="13.9" x14ac:dyDescent="0.4">
      <c r="B533" s="83"/>
      <c r="D533" s="88" t="s">
        <v>1042</v>
      </c>
      <c r="F533" s="93">
        <f>SUM(F523:F532)</f>
        <v>82100</v>
      </c>
      <c r="H533" s="93">
        <f>SUM(H523:H532)</f>
        <v>67753</v>
      </c>
      <c r="J533" s="93">
        <f>SUM(J523:J532)</f>
        <v>82100</v>
      </c>
      <c r="K533" s="138"/>
      <c r="M533" s="93">
        <f>SUM(M523:M532)</f>
        <v>20525</v>
      </c>
      <c r="O533" s="94">
        <f>SUM(O523:O532)</f>
        <v>11840</v>
      </c>
      <c r="P533" s="80"/>
      <c r="Q533" s="94">
        <f>SUM(Q523:Q532)</f>
        <v>8685</v>
      </c>
      <c r="R533" s="80"/>
      <c r="S533" s="94">
        <f>SUM(S523:S532)</f>
        <v>19374</v>
      </c>
      <c r="T533" s="80"/>
    </row>
    <row r="534" spans="1:20" x14ac:dyDescent="0.35">
      <c r="F534" s="92"/>
      <c r="H534" s="92"/>
      <c r="J534" s="92"/>
      <c r="K534" s="92"/>
      <c r="M534" s="92"/>
      <c r="O534" s="95"/>
      <c r="P534" s="80"/>
      <c r="Q534" s="95"/>
      <c r="R534" s="80"/>
      <c r="S534" s="95"/>
      <c r="T534" s="80"/>
    </row>
    <row r="535" spans="1:20" ht="13.9" x14ac:dyDescent="0.4">
      <c r="B535" s="83"/>
      <c r="D535" s="88" t="s">
        <v>1136</v>
      </c>
      <c r="E535" s="88"/>
      <c r="F535" s="96">
        <f>+F533+F520+F499+F479+F457+F437+F415</f>
        <v>1111194.0023333333</v>
      </c>
      <c r="G535" s="88"/>
      <c r="H535" s="96">
        <f>+H533+H520+H499+H479+H457+H437+H415</f>
        <v>1117970.219</v>
      </c>
      <c r="I535" s="88"/>
      <c r="J535" s="96">
        <f>+J533+J520+J499+J479+J457+J437+J415</f>
        <v>1203350.2154999999</v>
      </c>
      <c r="K535" s="137"/>
      <c r="L535" s="88"/>
      <c r="M535" s="96">
        <f>+M533+M520+M499+M479+M457+M437+M415</f>
        <v>300837.55387499998</v>
      </c>
      <c r="N535" s="88"/>
      <c r="O535" s="97">
        <f>+O533+O520+O499+O479+O457+O437+O415</f>
        <v>282457</v>
      </c>
      <c r="P535" s="114"/>
      <c r="Q535" s="97">
        <f>+Q533+Q520+Q499+Q479+Q457+Q437+Q415</f>
        <v>18380.553875000005</v>
      </c>
      <c r="R535" s="114"/>
      <c r="S535" s="97">
        <f>+S533+S520+S499+S479+S457+S437+S415</f>
        <v>249943</v>
      </c>
      <c r="T535" s="114"/>
    </row>
    <row r="536" spans="1:20" x14ac:dyDescent="0.35">
      <c r="F536" s="92"/>
      <c r="H536" s="92"/>
      <c r="J536" s="92"/>
      <c r="K536" s="92"/>
      <c r="M536" s="92"/>
      <c r="O536" s="95"/>
      <c r="P536" s="80"/>
      <c r="Q536" s="95"/>
      <c r="R536" s="80"/>
      <c r="S536" s="95"/>
      <c r="T536" s="80"/>
    </row>
    <row r="537" spans="1:20" ht="13.9" x14ac:dyDescent="0.35">
      <c r="D537" s="82" t="s">
        <v>1137</v>
      </c>
      <c r="F537" s="92"/>
      <c r="H537" s="92"/>
      <c r="J537" s="92"/>
      <c r="K537" s="92"/>
      <c r="M537" s="92"/>
      <c r="O537" s="95"/>
      <c r="P537" s="80"/>
      <c r="Q537" s="95"/>
      <c r="R537" s="80"/>
      <c r="S537" s="95"/>
      <c r="T537" s="80"/>
    </row>
    <row r="538" spans="1:20" x14ac:dyDescent="0.35">
      <c r="A538" s="83" t="s">
        <v>130</v>
      </c>
      <c r="D538" s="83" t="s">
        <v>1138</v>
      </c>
      <c r="F538" s="89">
        <v>4000</v>
      </c>
      <c r="H538" s="89">
        <v>3495</v>
      </c>
      <c r="J538" s="89">
        <v>4000</v>
      </c>
      <c r="K538" s="89"/>
      <c r="M538" s="80">
        <f>+J538/12*3</f>
        <v>1000</v>
      </c>
      <c r="O538" s="87">
        <v>1085</v>
      </c>
      <c r="P538" s="80"/>
      <c r="Q538" s="87">
        <f>+M538-O538</f>
        <v>-85</v>
      </c>
      <c r="R538" s="80"/>
      <c r="S538" s="87">
        <v>0</v>
      </c>
      <c r="T538" s="80"/>
    </row>
    <row r="539" spans="1:20" ht="13.9" x14ac:dyDescent="0.4">
      <c r="B539" s="83"/>
      <c r="D539" s="88" t="s">
        <v>1042</v>
      </c>
      <c r="F539" s="93">
        <f>+F538</f>
        <v>4000</v>
      </c>
      <c r="H539" s="93">
        <f>+H538</f>
        <v>3495</v>
      </c>
      <c r="J539" s="93">
        <f>+J538</f>
        <v>4000</v>
      </c>
      <c r="K539" s="138"/>
      <c r="M539" s="93">
        <f>+M538</f>
        <v>1000</v>
      </c>
      <c r="O539" s="94">
        <f>+O538</f>
        <v>1085</v>
      </c>
      <c r="P539" s="80"/>
      <c r="Q539" s="94">
        <f>+Q538</f>
        <v>-85</v>
      </c>
      <c r="R539" s="80"/>
      <c r="S539" s="94">
        <f>+S538</f>
        <v>0</v>
      </c>
      <c r="T539" s="80"/>
    </row>
    <row r="540" spans="1:20" x14ac:dyDescent="0.35">
      <c r="F540" s="92"/>
      <c r="H540" s="92"/>
      <c r="J540" s="92"/>
      <c r="K540" s="92"/>
      <c r="M540" s="92"/>
      <c r="O540" s="95"/>
      <c r="P540" s="80"/>
      <c r="Q540" s="95"/>
      <c r="R540" s="80"/>
      <c r="S540" s="95"/>
      <c r="T540" s="80"/>
    </row>
    <row r="541" spans="1:20" ht="13.9" x14ac:dyDescent="0.35">
      <c r="D541" s="82" t="s">
        <v>1139</v>
      </c>
      <c r="F541" s="92"/>
      <c r="H541" s="92"/>
      <c r="J541" s="92"/>
      <c r="K541" s="92"/>
      <c r="M541" s="92"/>
      <c r="O541" s="95"/>
      <c r="P541" s="80"/>
      <c r="Q541" s="95"/>
      <c r="R541" s="80"/>
      <c r="S541" s="95"/>
      <c r="T541" s="80"/>
    </row>
    <row r="542" spans="1:20" hidden="1" x14ac:dyDescent="0.35">
      <c r="A542" s="83" t="s">
        <v>131</v>
      </c>
      <c r="D542" s="83" t="s">
        <v>2617</v>
      </c>
      <c r="F542" s="89">
        <v>0</v>
      </c>
      <c r="H542" s="89">
        <v>0</v>
      </c>
      <c r="J542" s="89">
        <v>0</v>
      </c>
      <c r="K542" s="89"/>
      <c r="M542" s="89">
        <v>0</v>
      </c>
      <c r="O542" s="103">
        <v>0</v>
      </c>
      <c r="P542" s="80"/>
      <c r="Q542" s="103">
        <v>0</v>
      </c>
      <c r="R542" s="80"/>
      <c r="S542" s="103">
        <v>0</v>
      </c>
      <c r="T542" s="80"/>
    </row>
    <row r="543" spans="1:20" x14ac:dyDescent="0.35">
      <c r="A543" s="83" t="s">
        <v>132</v>
      </c>
      <c r="D543" s="83" t="s">
        <v>2619</v>
      </c>
      <c r="F543" s="89">
        <v>250</v>
      </c>
      <c r="H543" s="89">
        <v>5</v>
      </c>
      <c r="J543" s="89">
        <v>350</v>
      </c>
      <c r="K543" s="89"/>
      <c r="M543" s="80">
        <f>+J543/12*3</f>
        <v>87.5</v>
      </c>
      <c r="O543" s="87">
        <v>0</v>
      </c>
      <c r="P543" s="80"/>
      <c r="Q543" s="87">
        <f>+M543-O543</f>
        <v>87.5</v>
      </c>
      <c r="R543" s="80"/>
      <c r="S543" s="87">
        <v>36</v>
      </c>
      <c r="T543" s="80"/>
    </row>
    <row r="544" spans="1:20" hidden="1" x14ac:dyDescent="0.35">
      <c r="A544" s="83" t="s">
        <v>133</v>
      </c>
      <c r="D544" s="83" t="s">
        <v>2623</v>
      </c>
      <c r="F544" s="89">
        <v>0</v>
      </c>
      <c r="H544" s="89">
        <v>0</v>
      </c>
      <c r="J544" s="89">
        <v>0</v>
      </c>
      <c r="K544" s="89"/>
      <c r="M544" s="80">
        <f>+J544/12*2</f>
        <v>0</v>
      </c>
      <c r="O544" s="87">
        <v>0</v>
      </c>
      <c r="P544" s="80"/>
      <c r="Q544" s="87">
        <f>+M544-O544</f>
        <v>0</v>
      </c>
      <c r="R544" s="80"/>
      <c r="S544" s="87">
        <v>0</v>
      </c>
      <c r="T544" s="80"/>
    </row>
    <row r="545" spans="1:20" hidden="1" x14ac:dyDescent="0.35">
      <c r="A545" s="83" t="s">
        <v>134</v>
      </c>
      <c r="D545" s="83" t="s">
        <v>2625</v>
      </c>
      <c r="F545" s="89">
        <v>0</v>
      </c>
      <c r="H545" s="89">
        <v>0</v>
      </c>
      <c r="J545" s="89">
        <v>0</v>
      </c>
      <c r="K545" s="89"/>
      <c r="M545" s="80">
        <f>+J545/12*2</f>
        <v>0</v>
      </c>
      <c r="O545" s="87">
        <v>0</v>
      </c>
      <c r="P545" s="80"/>
      <c r="Q545" s="87">
        <f>+M545-O545</f>
        <v>0</v>
      </c>
      <c r="R545" s="80"/>
      <c r="S545" s="87">
        <v>0</v>
      </c>
      <c r="T545" s="80"/>
    </row>
    <row r="546" spans="1:20" x14ac:dyDescent="0.35">
      <c r="A546" s="83" t="s">
        <v>135</v>
      </c>
      <c r="D546" s="83" t="s">
        <v>2653</v>
      </c>
      <c r="F546" s="89">
        <v>0</v>
      </c>
      <c r="H546" s="89">
        <v>89</v>
      </c>
      <c r="J546" s="89">
        <v>0</v>
      </c>
      <c r="K546" s="89"/>
      <c r="M546" s="80">
        <f>+J546/12*3</f>
        <v>0</v>
      </c>
      <c r="O546" s="87">
        <v>0</v>
      </c>
      <c r="P546" s="80"/>
      <c r="Q546" s="87">
        <f>+M546-O546</f>
        <v>0</v>
      </c>
      <c r="R546" s="80"/>
      <c r="S546" s="87">
        <v>0</v>
      </c>
      <c r="T546" s="80"/>
    </row>
    <row r="547" spans="1:20" ht="13.9" x14ac:dyDescent="0.4">
      <c r="B547" s="83"/>
      <c r="D547" s="88" t="s">
        <v>1042</v>
      </c>
      <c r="F547" s="93">
        <f>SUM(F542:F546)</f>
        <v>250</v>
      </c>
      <c r="H547" s="93">
        <f>SUM(H542:H546)</f>
        <v>94</v>
      </c>
      <c r="J547" s="93">
        <f>SUM(J542:J546)</f>
        <v>350</v>
      </c>
      <c r="K547" s="138"/>
      <c r="M547" s="93">
        <f>SUM(M542:M546)</f>
        <v>87.5</v>
      </c>
      <c r="O547" s="94">
        <f>SUM(O542:O546)</f>
        <v>0</v>
      </c>
      <c r="P547" s="80"/>
      <c r="Q547" s="94">
        <f>SUM(Q542:Q546)</f>
        <v>87.5</v>
      </c>
      <c r="R547" s="80"/>
      <c r="S547" s="94">
        <f>SUM(S542:S546)</f>
        <v>36</v>
      </c>
      <c r="T547" s="80"/>
    </row>
    <row r="548" spans="1:20" x14ac:dyDescent="0.35">
      <c r="F548" s="92"/>
      <c r="H548" s="92"/>
      <c r="J548" s="92"/>
      <c r="K548" s="92"/>
      <c r="M548" s="92"/>
      <c r="O548" s="95"/>
      <c r="P548" s="80"/>
      <c r="Q548" s="95"/>
      <c r="R548" s="80"/>
      <c r="S548" s="95"/>
      <c r="T548" s="80"/>
    </row>
    <row r="549" spans="1:20" ht="13.9" x14ac:dyDescent="0.4">
      <c r="D549" s="88" t="s">
        <v>136</v>
      </c>
      <c r="F549" s="98"/>
      <c r="H549" s="98">
        <v>14149</v>
      </c>
      <c r="J549" s="98"/>
      <c r="K549" s="92"/>
      <c r="M549" s="80">
        <f>+J549/12*3</f>
        <v>0</v>
      </c>
      <c r="O549" s="87">
        <v>212</v>
      </c>
      <c r="P549" s="80"/>
      <c r="Q549" s="87">
        <f>+M549-O549</f>
        <v>-212</v>
      </c>
      <c r="R549" s="80"/>
      <c r="S549" s="87">
        <v>7985</v>
      </c>
      <c r="T549" s="80"/>
    </row>
    <row r="550" spans="1:20" ht="13.9" x14ac:dyDescent="0.4">
      <c r="B550" s="100"/>
      <c r="D550" s="88" t="s">
        <v>1042</v>
      </c>
      <c r="F550" s="101"/>
      <c r="H550" s="101">
        <f>+H549</f>
        <v>14149</v>
      </c>
      <c r="J550" s="101"/>
      <c r="K550" s="92"/>
      <c r="M550" s="102">
        <f>+M549</f>
        <v>0</v>
      </c>
      <c r="O550" s="102">
        <f>+O549</f>
        <v>212</v>
      </c>
      <c r="P550" s="80"/>
      <c r="Q550" s="102">
        <f>+Q549</f>
        <v>-212</v>
      </c>
      <c r="R550" s="80"/>
      <c r="S550" s="102">
        <f>+S549</f>
        <v>7985</v>
      </c>
      <c r="T550" s="80"/>
    </row>
    <row r="551" spans="1:20" x14ac:dyDescent="0.35">
      <c r="F551" s="92"/>
      <c r="H551" s="92"/>
      <c r="J551" s="92"/>
      <c r="K551" s="92"/>
      <c r="M551" s="92"/>
      <c r="O551" s="95"/>
      <c r="P551" s="80"/>
      <c r="Q551" s="95"/>
      <c r="R551" s="80"/>
      <c r="S551" s="95"/>
      <c r="T551" s="80"/>
    </row>
    <row r="552" spans="1:20" ht="13.9" x14ac:dyDescent="0.35">
      <c r="D552" s="82" t="s">
        <v>1140</v>
      </c>
      <c r="F552" s="92"/>
      <c r="H552" s="92"/>
      <c r="J552" s="92"/>
      <c r="K552" s="92"/>
      <c r="M552" s="92"/>
      <c r="O552" s="95"/>
      <c r="P552" s="80"/>
      <c r="Q552" s="87"/>
      <c r="R552" s="80"/>
      <c r="S552" s="95"/>
      <c r="T552" s="80"/>
    </row>
    <row r="553" spans="1:20" hidden="1" x14ac:dyDescent="0.35">
      <c r="D553" s="83" t="s">
        <v>137</v>
      </c>
      <c r="F553" s="89">
        <v>0</v>
      </c>
      <c r="H553" s="89">
        <v>0</v>
      </c>
      <c r="J553" s="89">
        <v>0</v>
      </c>
      <c r="K553" s="89"/>
      <c r="M553" s="89">
        <v>0</v>
      </c>
      <c r="O553" s="103">
        <v>0</v>
      </c>
      <c r="P553" s="80"/>
      <c r="Q553" s="103">
        <v>0</v>
      </c>
      <c r="R553" s="80"/>
      <c r="S553" s="103">
        <v>0</v>
      </c>
      <c r="T553" s="80"/>
    </row>
    <row r="554" spans="1:20" x14ac:dyDescent="0.35">
      <c r="D554" s="83" t="s">
        <v>138</v>
      </c>
      <c r="F554" s="104">
        <v>0</v>
      </c>
      <c r="H554" s="104">
        <v>0</v>
      </c>
      <c r="J554" s="104">
        <v>3000</v>
      </c>
      <c r="K554" s="138"/>
      <c r="M554" s="80">
        <f>+J554/12*3</f>
        <v>750</v>
      </c>
      <c r="O554" s="87">
        <v>0</v>
      </c>
      <c r="P554" s="80"/>
      <c r="Q554" s="87">
        <f>+M554-O554</f>
        <v>750</v>
      </c>
      <c r="R554" s="80"/>
      <c r="S554" s="87">
        <v>0</v>
      </c>
      <c r="T554" s="80"/>
    </row>
    <row r="555" spans="1:20" ht="13.9" x14ac:dyDescent="0.4">
      <c r="B555" s="83"/>
      <c r="D555" s="88" t="s">
        <v>1042</v>
      </c>
      <c r="F555" s="101">
        <f>+F553+F554</f>
        <v>0</v>
      </c>
      <c r="H555" s="101">
        <f>+H553+H554</f>
        <v>0</v>
      </c>
      <c r="J555" s="101">
        <f>+J553+J554</f>
        <v>3000</v>
      </c>
      <c r="K555" s="92"/>
      <c r="M555" s="101">
        <f>+M553+M554</f>
        <v>750</v>
      </c>
      <c r="O555" s="102">
        <f>+O553+O554</f>
        <v>0</v>
      </c>
      <c r="P555" s="80"/>
      <c r="Q555" s="102">
        <f>+Q553+Q554</f>
        <v>750</v>
      </c>
      <c r="R555" s="80"/>
      <c r="S555" s="102">
        <f>+S553+S554</f>
        <v>0</v>
      </c>
      <c r="T555" s="80"/>
    </row>
    <row r="556" spans="1:20" x14ac:dyDescent="0.35">
      <c r="F556" s="101"/>
      <c r="H556" s="101"/>
      <c r="J556" s="101"/>
      <c r="K556" s="92"/>
      <c r="M556" s="101"/>
      <c r="O556" s="102"/>
      <c r="P556" s="80"/>
      <c r="Q556" s="102"/>
      <c r="R556" s="80"/>
      <c r="S556" s="102"/>
      <c r="T556" s="80"/>
    </row>
    <row r="557" spans="1:20" ht="13.9" x14ac:dyDescent="0.35">
      <c r="D557" s="82" t="s">
        <v>1141</v>
      </c>
      <c r="F557" s="96">
        <f>+F314+F329+F393+F535+F539+F547+F555+F550+F317</f>
        <v>1158944.0023333333</v>
      </c>
      <c r="H557" s="96">
        <f>+H314+H329+H393+H535+H539+H547+H555+H550+H317</f>
        <v>1171026.219</v>
      </c>
      <c r="J557" s="96">
        <f>+J314+J329+J393+J535+J539+J547+J555+J550+J317</f>
        <v>1262300.2154999999</v>
      </c>
      <c r="K557" s="137"/>
      <c r="M557" s="96">
        <f>+M314+M329+M393+M535+M539+M547+M555+M550+M317</f>
        <v>315575.05387499998</v>
      </c>
      <c r="O557" s="97">
        <f>+O314+O329+O393+O535+O539+O547+O555+O550+O317</f>
        <v>291786</v>
      </c>
      <c r="P557" s="80"/>
      <c r="Q557" s="97">
        <f>+Q314+Q329+Q393+Q535+Q539+Q547+Q555+Q550+Q317</f>
        <v>23789.053875000005</v>
      </c>
      <c r="R557" s="80"/>
      <c r="S557" s="97">
        <f>+S314+S329+S393+S535+S539+S547+S555+S550+S317</f>
        <v>279275</v>
      </c>
      <c r="T557" s="80"/>
    </row>
    <row r="558" spans="1:20" x14ac:dyDescent="0.35">
      <c r="F558" s="92"/>
      <c r="H558" s="92"/>
      <c r="J558" s="92"/>
      <c r="K558" s="92"/>
      <c r="M558" s="92"/>
      <c r="O558" s="95"/>
      <c r="P558" s="80"/>
      <c r="Q558" s="95"/>
      <c r="R558" s="80"/>
      <c r="S558" s="95"/>
      <c r="T558" s="80"/>
    </row>
    <row r="559" spans="1:20" ht="13.9" x14ac:dyDescent="0.35">
      <c r="D559" s="116" t="s">
        <v>1142</v>
      </c>
      <c r="F559" s="92"/>
      <c r="H559" s="92"/>
      <c r="J559" s="92"/>
      <c r="K559" s="92"/>
      <c r="M559" s="92"/>
      <c r="O559" s="95"/>
      <c r="P559" s="80"/>
      <c r="Q559" s="95"/>
      <c r="R559" s="80"/>
      <c r="S559" s="95"/>
      <c r="T559" s="80"/>
    </row>
    <row r="560" spans="1:20" ht="13.9" hidden="1" x14ac:dyDescent="0.35">
      <c r="A560" s="82" t="s">
        <v>139</v>
      </c>
      <c r="F560" s="92"/>
      <c r="H560" s="92"/>
      <c r="J560" s="92"/>
      <c r="K560" s="92"/>
      <c r="M560" s="92"/>
      <c r="O560" s="95"/>
      <c r="P560" s="80"/>
      <c r="Q560" s="95"/>
      <c r="R560" s="80"/>
      <c r="S560" s="95"/>
      <c r="T560" s="80"/>
    </row>
    <row r="561" spans="1:20" hidden="1" x14ac:dyDescent="0.35">
      <c r="A561" s="83" t="s">
        <v>140</v>
      </c>
      <c r="D561" s="83" t="s">
        <v>141</v>
      </c>
      <c r="F561" s="89">
        <v>0</v>
      </c>
      <c r="H561" s="89">
        <v>0</v>
      </c>
      <c r="J561" s="89">
        <v>0</v>
      </c>
      <c r="K561" s="89"/>
      <c r="M561" s="89">
        <v>0</v>
      </c>
      <c r="O561" s="103">
        <v>0</v>
      </c>
      <c r="P561" s="80"/>
      <c r="Q561" s="103">
        <v>0</v>
      </c>
      <c r="R561" s="80"/>
      <c r="S561" s="103">
        <v>0</v>
      </c>
      <c r="T561" s="80"/>
    </row>
    <row r="562" spans="1:20" hidden="1" x14ac:dyDescent="0.35">
      <c r="B562" s="83" t="s">
        <v>142</v>
      </c>
      <c r="F562" s="93">
        <f>+F561</f>
        <v>0</v>
      </c>
      <c r="H562" s="93">
        <f>+H561</f>
        <v>0</v>
      </c>
      <c r="J562" s="93">
        <f>+J561</f>
        <v>0</v>
      </c>
      <c r="K562" s="138"/>
      <c r="M562" s="93">
        <f>+M561</f>
        <v>0</v>
      </c>
      <c r="O562" s="94">
        <f>+O561</f>
        <v>0</v>
      </c>
      <c r="P562" s="80"/>
      <c r="Q562" s="94">
        <f>+Q561</f>
        <v>0</v>
      </c>
      <c r="R562" s="80"/>
      <c r="S562" s="94">
        <f>+S561</f>
        <v>0</v>
      </c>
      <c r="T562" s="80"/>
    </row>
    <row r="563" spans="1:20" x14ac:dyDescent="0.35">
      <c r="F563" s="92"/>
      <c r="H563" s="92"/>
      <c r="J563" s="92"/>
      <c r="K563" s="92"/>
      <c r="M563" s="92"/>
      <c r="O563" s="95"/>
      <c r="P563" s="80"/>
      <c r="Q563" s="95"/>
      <c r="R563" s="80"/>
      <c r="S563" s="95"/>
      <c r="T563" s="80"/>
    </row>
    <row r="564" spans="1:20" ht="13.9" x14ac:dyDescent="0.35">
      <c r="D564" s="82" t="s">
        <v>1143</v>
      </c>
      <c r="F564" s="92"/>
      <c r="H564" s="92"/>
      <c r="J564" s="92"/>
      <c r="K564" s="92"/>
      <c r="M564" s="92"/>
      <c r="O564" s="95"/>
      <c r="P564" s="80"/>
      <c r="Q564" s="95"/>
      <c r="R564" s="80"/>
      <c r="S564" s="95"/>
      <c r="T564" s="80"/>
    </row>
    <row r="565" spans="1:20" x14ac:dyDescent="0.35">
      <c r="A565" s="83" t="s">
        <v>143</v>
      </c>
      <c r="D565" s="83" t="s">
        <v>1144</v>
      </c>
      <c r="F565" s="89">
        <v>-32000</v>
      </c>
      <c r="H565" s="89">
        <v>-5732</v>
      </c>
      <c r="J565" s="89">
        <v>-32000</v>
      </c>
      <c r="K565" s="89"/>
      <c r="M565" s="80">
        <f>+J565/12*3</f>
        <v>-8000</v>
      </c>
      <c r="O565" s="103">
        <v>0</v>
      </c>
      <c r="P565" s="80"/>
      <c r="Q565" s="87">
        <f t="shared" ref="Q565:Q610" si="40">+M565-O565</f>
        <v>-8000</v>
      </c>
      <c r="R565" s="80"/>
      <c r="S565" s="103">
        <v>0</v>
      </c>
      <c r="T565" s="80"/>
    </row>
    <row r="566" spans="1:20" x14ac:dyDescent="0.35">
      <c r="A566" s="83" t="s">
        <v>144</v>
      </c>
      <c r="D566" s="83" t="s">
        <v>1145</v>
      </c>
      <c r="F566" s="89">
        <v>-20000</v>
      </c>
      <c r="H566" s="89">
        <v>-2252</v>
      </c>
      <c r="J566" s="89">
        <v>-20000</v>
      </c>
      <c r="K566" s="89"/>
      <c r="M566" s="80">
        <f t="shared" ref="M566:M610" si="41">+J566/12*3</f>
        <v>-5000</v>
      </c>
      <c r="O566" s="103">
        <v>-96</v>
      </c>
      <c r="P566" s="80"/>
      <c r="Q566" s="87">
        <f t="shared" si="40"/>
        <v>-4904</v>
      </c>
      <c r="R566" s="80"/>
      <c r="S566" s="103">
        <v>0</v>
      </c>
      <c r="T566" s="80"/>
    </row>
    <row r="567" spans="1:20" x14ac:dyDescent="0.35">
      <c r="A567" s="83" t="s">
        <v>145</v>
      </c>
      <c r="D567" s="83" t="s">
        <v>1146</v>
      </c>
      <c r="F567" s="89">
        <v>-7000</v>
      </c>
      <c r="H567" s="89">
        <v>-7000</v>
      </c>
      <c r="J567" s="89">
        <v>-7000</v>
      </c>
      <c r="K567" s="89"/>
      <c r="M567" s="80">
        <f t="shared" si="41"/>
        <v>-1750</v>
      </c>
      <c r="O567" s="103">
        <v>-1750</v>
      </c>
      <c r="P567" s="80"/>
      <c r="Q567" s="87">
        <f t="shared" si="40"/>
        <v>0</v>
      </c>
      <c r="R567" s="80"/>
      <c r="S567" s="103">
        <v>0</v>
      </c>
      <c r="T567" s="80"/>
    </row>
    <row r="568" spans="1:20" x14ac:dyDescent="0.35">
      <c r="A568" s="83" t="s">
        <v>146</v>
      </c>
      <c r="D568" s="83" t="s">
        <v>1147</v>
      </c>
      <c r="F568" s="89">
        <v>-182125</v>
      </c>
      <c r="H568" s="89">
        <v>-182125</v>
      </c>
      <c r="J568" s="89">
        <v>-182125</v>
      </c>
      <c r="K568" s="89"/>
      <c r="M568" s="80">
        <f t="shared" si="41"/>
        <v>-45531.25</v>
      </c>
      <c r="O568" s="103">
        <v>-45531</v>
      </c>
      <c r="P568" s="80"/>
      <c r="Q568" s="87">
        <f t="shared" si="40"/>
        <v>-0.25</v>
      </c>
      <c r="R568" s="80"/>
      <c r="S568" s="103">
        <v>-45531</v>
      </c>
      <c r="T568" s="80"/>
    </row>
    <row r="569" spans="1:20" x14ac:dyDescent="0.35">
      <c r="A569" s="83" t="s">
        <v>147</v>
      </c>
      <c r="D569" s="83" t="s">
        <v>1148</v>
      </c>
      <c r="F569" s="89">
        <v>-15000</v>
      </c>
      <c r="H569" s="89">
        <v>-15283</v>
      </c>
      <c r="J569" s="89">
        <v>-15000</v>
      </c>
      <c r="K569" s="89"/>
      <c r="M569" s="80">
        <f t="shared" si="41"/>
        <v>-3750</v>
      </c>
      <c r="O569" s="103">
        <v>0</v>
      </c>
      <c r="P569" s="80"/>
      <c r="Q569" s="87">
        <f t="shared" si="40"/>
        <v>-3750</v>
      </c>
      <c r="R569" s="80"/>
      <c r="S569" s="103">
        <v>0</v>
      </c>
      <c r="T569" s="80"/>
    </row>
    <row r="570" spans="1:20" x14ac:dyDescent="0.35">
      <c r="A570" s="83" t="s">
        <v>148</v>
      </c>
      <c r="D570" s="83" t="s">
        <v>1045</v>
      </c>
      <c r="F570" s="89">
        <v>-100</v>
      </c>
      <c r="H570" s="89">
        <v>-1715</v>
      </c>
      <c r="J570" s="89">
        <v>-100</v>
      </c>
      <c r="K570" s="89"/>
      <c r="M570" s="80">
        <f t="shared" si="41"/>
        <v>-25</v>
      </c>
      <c r="O570" s="103">
        <v>-413</v>
      </c>
      <c r="P570" s="80"/>
      <c r="Q570" s="87">
        <f t="shared" si="40"/>
        <v>388</v>
      </c>
      <c r="R570" s="80"/>
      <c r="S570" s="103">
        <v>-123</v>
      </c>
      <c r="T570" s="80"/>
    </row>
    <row r="571" spans="1:20" x14ac:dyDescent="0.35">
      <c r="A571" s="83" t="s">
        <v>149</v>
      </c>
      <c r="D571" s="83" t="s">
        <v>1149</v>
      </c>
      <c r="F571" s="89">
        <v>93829</v>
      </c>
      <c r="H571" s="89">
        <v>82100</v>
      </c>
      <c r="J571" s="89">
        <v>93829</v>
      </c>
      <c r="K571" s="89"/>
      <c r="M571" s="80">
        <f t="shared" si="41"/>
        <v>23457.25</v>
      </c>
      <c r="O571" s="103">
        <v>23457</v>
      </c>
      <c r="P571" s="80"/>
      <c r="Q571" s="87">
        <f t="shared" si="40"/>
        <v>0.25</v>
      </c>
      <c r="R571" s="80"/>
      <c r="S571" s="103">
        <v>18241</v>
      </c>
      <c r="T571" s="80"/>
    </row>
    <row r="572" spans="1:20" x14ac:dyDescent="0.35">
      <c r="A572" s="83" t="s">
        <v>150</v>
      </c>
      <c r="D572" s="83" t="s">
        <v>151</v>
      </c>
      <c r="F572" s="89">
        <v>340974</v>
      </c>
      <c r="H572" s="89">
        <v>261101</v>
      </c>
      <c r="J572" s="89">
        <f>471883-93829-75000-11395</f>
        <v>291659</v>
      </c>
      <c r="K572" s="89"/>
      <c r="M572" s="80">
        <f t="shared" si="41"/>
        <v>72914.75</v>
      </c>
      <c r="O572" s="103">
        <v>72806</v>
      </c>
      <c r="P572" s="80"/>
      <c r="Q572" s="87">
        <f t="shared" si="40"/>
        <v>108.75</v>
      </c>
      <c r="R572" s="80"/>
      <c r="S572" s="103">
        <v>65238</v>
      </c>
      <c r="T572" s="80"/>
    </row>
    <row r="573" spans="1:20" x14ac:dyDescent="0.35">
      <c r="A573" s="83" t="s">
        <v>152</v>
      </c>
      <c r="D573" s="83" t="s">
        <v>153</v>
      </c>
      <c r="F573" s="89">
        <v>5000</v>
      </c>
      <c r="H573" s="89">
        <v>3384</v>
      </c>
      <c r="J573" s="89">
        <f>75000+11395</f>
        <v>86395</v>
      </c>
      <c r="K573" s="89"/>
      <c r="M573" s="80">
        <f t="shared" si="41"/>
        <v>21598.75</v>
      </c>
      <c r="O573" s="103">
        <v>0</v>
      </c>
      <c r="P573" s="80"/>
      <c r="Q573" s="87">
        <f t="shared" si="40"/>
        <v>21598.75</v>
      </c>
      <c r="R573" s="80"/>
      <c r="S573" s="103">
        <v>0</v>
      </c>
      <c r="T573" s="80"/>
    </row>
    <row r="574" spans="1:20" hidden="1" x14ac:dyDescent="0.35">
      <c r="A574" s="83" t="s">
        <v>154</v>
      </c>
      <c r="D574" s="83" t="s">
        <v>155</v>
      </c>
      <c r="F574" s="89">
        <v>0</v>
      </c>
      <c r="H574" s="89">
        <v>0</v>
      </c>
      <c r="J574" s="89"/>
      <c r="K574" s="89"/>
      <c r="M574" s="80">
        <f t="shared" si="41"/>
        <v>0</v>
      </c>
      <c r="O574" s="103">
        <v>0</v>
      </c>
      <c r="P574" s="80"/>
      <c r="Q574" s="87">
        <f t="shared" si="40"/>
        <v>0</v>
      </c>
      <c r="R574" s="80"/>
      <c r="S574" s="103">
        <v>0</v>
      </c>
      <c r="T574" s="80"/>
    </row>
    <row r="575" spans="1:20" x14ac:dyDescent="0.35">
      <c r="A575" s="83" t="s">
        <v>156</v>
      </c>
      <c r="D575" s="83" t="s">
        <v>2666</v>
      </c>
      <c r="F575" s="89">
        <v>30000</v>
      </c>
      <c r="H575" s="89">
        <v>26480</v>
      </c>
      <c r="J575" s="89">
        <v>29490</v>
      </c>
      <c r="K575" s="89"/>
      <c r="M575" s="80">
        <f t="shared" si="41"/>
        <v>7372.5</v>
      </c>
      <c r="O575" s="103">
        <v>7393</v>
      </c>
      <c r="P575" s="80"/>
      <c r="Q575" s="87">
        <f t="shared" si="40"/>
        <v>-20.5</v>
      </c>
      <c r="R575" s="80"/>
      <c r="S575" s="103">
        <v>6720</v>
      </c>
      <c r="T575" s="80"/>
    </row>
    <row r="576" spans="1:20" x14ac:dyDescent="0.35">
      <c r="A576" s="83" t="s">
        <v>157</v>
      </c>
      <c r="D576" s="83" t="s">
        <v>2668</v>
      </c>
      <c r="F576" s="89">
        <v>5000</v>
      </c>
      <c r="H576" s="89">
        <v>4500</v>
      </c>
      <c r="J576" s="89">
        <v>4500</v>
      </c>
      <c r="K576" s="89"/>
      <c r="M576" s="80">
        <f t="shared" si="41"/>
        <v>1125</v>
      </c>
      <c r="O576" s="103">
        <v>0</v>
      </c>
      <c r="P576" s="80"/>
      <c r="Q576" s="87">
        <f t="shared" si="40"/>
        <v>1125</v>
      </c>
      <c r="R576" s="80"/>
      <c r="S576" s="103">
        <v>0</v>
      </c>
      <c r="T576" s="80"/>
    </row>
    <row r="577" spans="1:20" x14ac:dyDescent="0.35">
      <c r="A577" s="83" t="s">
        <v>158</v>
      </c>
      <c r="D577" s="83" t="s">
        <v>1069</v>
      </c>
      <c r="F577" s="89">
        <v>83062</v>
      </c>
      <c r="H577" s="89">
        <v>86039</v>
      </c>
      <c r="J577" s="89">
        <v>89410</v>
      </c>
      <c r="K577" s="89"/>
      <c r="M577" s="80">
        <f t="shared" si="41"/>
        <v>22352.5</v>
      </c>
      <c r="O577" s="103">
        <v>22101</v>
      </c>
      <c r="P577" s="80"/>
      <c r="Q577" s="87">
        <f t="shared" si="40"/>
        <v>251.5</v>
      </c>
      <c r="R577" s="80"/>
      <c r="S577" s="103">
        <v>20434</v>
      </c>
      <c r="T577" s="80"/>
    </row>
    <row r="578" spans="1:20" x14ac:dyDescent="0.35">
      <c r="A578" s="83" t="s">
        <v>159</v>
      </c>
      <c r="D578" s="83" t="s">
        <v>2615</v>
      </c>
      <c r="F578" s="89">
        <v>40000</v>
      </c>
      <c r="H578" s="89">
        <v>33667</v>
      </c>
      <c r="J578" s="89">
        <v>42404</v>
      </c>
      <c r="K578" s="89"/>
      <c r="M578" s="80">
        <f t="shared" si="41"/>
        <v>10601</v>
      </c>
      <c r="O578" s="103">
        <v>11407</v>
      </c>
      <c r="P578" s="80"/>
      <c r="Q578" s="87">
        <f t="shared" si="40"/>
        <v>-806</v>
      </c>
      <c r="R578" s="80"/>
      <c r="S578" s="103">
        <v>6203</v>
      </c>
      <c r="T578" s="80"/>
    </row>
    <row r="579" spans="1:20" hidden="1" x14ac:dyDescent="0.35">
      <c r="A579" s="83" t="s">
        <v>160</v>
      </c>
      <c r="D579" s="83" t="s">
        <v>1150</v>
      </c>
      <c r="F579" s="89">
        <v>0</v>
      </c>
      <c r="H579" s="89">
        <v>0</v>
      </c>
      <c r="J579" s="89"/>
      <c r="K579" s="89"/>
      <c r="M579" s="80">
        <f t="shared" si="41"/>
        <v>0</v>
      </c>
      <c r="O579" s="103">
        <v>0</v>
      </c>
      <c r="P579" s="80"/>
      <c r="Q579" s="87">
        <f t="shared" si="40"/>
        <v>0</v>
      </c>
      <c r="R579" s="80"/>
      <c r="S579" s="103">
        <v>0</v>
      </c>
      <c r="T579" s="80"/>
    </row>
    <row r="580" spans="1:20" hidden="1" x14ac:dyDescent="0.35">
      <c r="A580" s="83" t="s">
        <v>161</v>
      </c>
      <c r="D580" s="83" t="s">
        <v>162</v>
      </c>
      <c r="F580" s="89">
        <v>0</v>
      </c>
      <c r="H580" s="89">
        <v>0</v>
      </c>
      <c r="J580" s="89"/>
      <c r="K580" s="89"/>
      <c r="M580" s="80">
        <f t="shared" si="41"/>
        <v>0</v>
      </c>
      <c r="O580" s="103">
        <v>0</v>
      </c>
      <c r="P580" s="80"/>
      <c r="Q580" s="87">
        <f t="shared" si="40"/>
        <v>0</v>
      </c>
      <c r="R580" s="80"/>
      <c r="S580" s="103">
        <v>0</v>
      </c>
      <c r="T580" s="80"/>
    </row>
    <row r="581" spans="1:20" x14ac:dyDescent="0.35">
      <c r="A581" s="83" t="s">
        <v>163</v>
      </c>
      <c r="D581" s="83" t="s">
        <v>1151</v>
      </c>
      <c r="F581" s="89">
        <v>5000</v>
      </c>
      <c r="H581" s="103">
        <v>0</v>
      </c>
      <c r="J581" s="89">
        <v>1000</v>
      </c>
      <c r="K581" s="89"/>
      <c r="M581" s="80">
        <f t="shared" si="41"/>
        <v>250</v>
      </c>
      <c r="O581" s="103">
        <v>0</v>
      </c>
      <c r="P581" s="80"/>
      <c r="Q581" s="87">
        <f t="shared" si="40"/>
        <v>250</v>
      </c>
      <c r="R581" s="80"/>
      <c r="S581" s="103">
        <v>0</v>
      </c>
      <c r="T581" s="80"/>
    </row>
    <row r="582" spans="1:20" x14ac:dyDescent="0.35">
      <c r="A582" s="83" t="s">
        <v>164</v>
      </c>
      <c r="D582" s="83" t="s">
        <v>1071</v>
      </c>
      <c r="F582" s="89">
        <v>500</v>
      </c>
      <c r="H582" s="89">
        <v>750</v>
      </c>
      <c r="J582" s="89">
        <v>500</v>
      </c>
      <c r="K582" s="89"/>
      <c r="M582" s="80">
        <f t="shared" si="41"/>
        <v>125</v>
      </c>
      <c r="O582" s="103">
        <v>80</v>
      </c>
      <c r="P582" s="80"/>
      <c r="Q582" s="87">
        <f t="shared" si="40"/>
        <v>45</v>
      </c>
      <c r="R582" s="80"/>
      <c r="S582" s="103">
        <v>145</v>
      </c>
      <c r="T582" s="80"/>
    </row>
    <row r="583" spans="1:20" x14ac:dyDescent="0.35">
      <c r="A583" s="83" t="s">
        <v>165</v>
      </c>
      <c r="D583" s="83" t="s">
        <v>1152</v>
      </c>
      <c r="F583" s="89">
        <v>4500</v>
      </c>
      <c r="H583" s="103">
        <v>0</v>
      </c>
      <c r="J583" s="89">
        <v>4500</v>
      </c>
      <c r="K583" s="89"/>
      <c r="M583" s="80">
        <f t="shared" si="41"/>
        <v>1125</v>
      </c>
      <c r="O583" s="103">
        <v>0</v>
      </c>
      <c r="P583" s="80"/>
      <c r="Q583" s="87">
        <f t="shared" si="40"/>
        <v>1125</v>
      </c>
      <c r="R583" s="80"/>
      <c r="S583" s="103">
        <v>0</v>
      </c>
      <c r="T583" s="80"/>
    </row>
    <row r="584" spans="1:20" hidden="1" x14ac:dyDescent="0.35">
      <c r="A584" s="83" t="s">
        <v>166</v>
      </c>
      <c r="D584" s="83" t="s">
        <v>1153</v>
      </c>
      <c r="F584" s="89">
        <v>0</v>
      </c>
      <c r="H584" s="89">
        <v>0</v>
      </c>
      <c r="J584" s="89"/>
      <c r="K584" s="89"/>
      <c r="M584" s="80">
        <f t="shared" si="41"/>
        <v>0</v>
      </c>
      <c r="O584" s="103">
        <v>0</v>
      </c>
      <c r="P584" s="80"/>
      <c r="Q584" s="87">
        <f t="shared" si="40"/>
        <v>0</v>
      </c>
      <c r="R584" s="80"/>
      <c r="S584" s="103">
        <v>0</v>
      </c>
      <c r="T584" s="80"/>
    </row>
    <row r="585" spans="1:20" x14ac:dyDescent="0.35">
      <c r="A585" s="83" t="s">
        <v>167</v>
      </c>
      <c r="D585" s="83" t="s">
        <v>1154</v>
      </c>
      <c r="F585" s="89">
        <v>40000</v>
      </c>
      <c r="H585" s="89">
        <v>54764</v>
      </c>
      <c r="J585" s="89">
        <v>35600</v>
      </c>
      <c r="K585" s="89"/>
      <c r="M585" s="80">
        <f t="shared" si="41"/>
        <v>8900</v>
      </c>
      <c r="O585" s="103">
        <v>15091</v>
      </c>
      <c r="P585" s="80"/>
      <c r="Q585" s="87">
        <f t="shared" si="40"/>
        <v>-6191</v>
      </c>
      <c r="R585" s="80"/>
      <c r="S585" s="103">
        <v>8734</v>
      </c>
      <c r="T585" s="80"/>
    </row>
    <row r="586" spans="1:20" x14ac:dyDescent="0.35">
      <c r="A586" s="83" t="s">
        <v>168</v>
      </c>
      <c r="D586" s="83" t="s">
        <v>1155</v>
      </c>
      <c r="F586" s="89">
        <v>20000</v>
      </c>
      <c r="H586" s="89">
        <v>7776</v>
      </c>
      <c r="J586" s="89">
        <v>10000</v>
      </c>
      <c r="K586" s="89"/>
      <c r="M586" s="80">
        <f t="shared" si="41"/>
        <v>2500</v>
      </c>
      <c r="O586" s="103">
        <v>1944</v>
      </c>
      <c r="P586" s="80"/>
      <c r="Q586" s="87">
        <f t="shared" si="40"/>
        <v>556</v>
      </c>
      <c r="R586" s="80"/>
      <c r="S586" s="103">
        <v>1944</v>
      </c>
      <c r="T586" s="80"/>
    </row>
    <row r="587" spans="1:20" x14ac:dyDescent="0.35">
      <c r="A587" s="83" t="s">
        <v>169</v>
      </c>
      <c r="D587" s="83" t="s">
        <v>1156</v>
      </c>
      <c r="F587" s="103">
        <v>0</v>
      </c>
      <c r="H587" s="103">
        <v>0</v>
      </c>
      <c r="J587" s="89">
        <v>2000</v>
      </c>
      <c r="K587" s="89"/>
      <c r="M587" s="80">
        <f t="shared" si="41"/>
        <v>500</v>
      </c>
      <c r="O587" s="103">
        <v>0</v>
      </c>
      <c r="P587" s="80"/>
      <c r="Q587" s="87">
        <f t="shared" si="40"/>
        <v>500</v>
      </c>
      <c r="R587" s="80"/>
      <c r="S587" s="103">
        <v>0</v>
      </c>
      <c r="T587" s="80"/>
    </row>
    <row r="588" spans="1:20" x14ac:dyDescent="0.35">
      <c r="A588" s="83" t="s">
        <v>170</v>
      </c>
      <c r="D588" s="83" t="s">
        <v>1157</v>
      </c>
      <c r="F588" s="103">
        <v>0</v>
      </c>
      <c r="H588" s="103">
        <v>0</v>
      </c>
      <c r="J588" s="89">
        <v>56</v>
      </c>
      <c r="K588" s="89"/>
      <c r="M588" s="80">
        <f t="shared" si="41"/>
        <v>14</v>
      </c>
      <c r="O588" s="103">
        <v>0</v>
      </c>
      <c r="P588" s="80"/>
      <c r="Q588" s="87">
        <f t="shared" si="40"/>
        <v>14</v>
      </c>
      <c r="R588" s="80"/>
      <c r="S588" s="103">
        <v>0</v>
      </c>
      <c r="T588" s="80"/>
    </row>
    <row r="589" spans="1:20" x14ac:dyDescent="0.35">
      <c r="A589" s="83" t="s">
        <v>171</v>
      </c>
      <c r="D589" s="83" t="s">
        <v>2617</v>
      </c>
      <c r="F589" s="89">
        <v>30000</v>
      </c>
      <c r="H589" s="89">
        <v>26582</v>
      </c>
      <c r="J589" s="89">
        <v>35000</v>
      </c>
      <c r="K589" s="89"/>
      <c r="M589" s="80">
        <f t="shared" si="41"/>
        <v>8750</v>
      </c>
      <c r="O589" s="103">
        <v>6865</v>
      </c>
      <c r="P589" s="80"/>
      <c r="Q589" s="87">
        <f t="shared" si="40"/>
        <v>1885</v>
      </c>
      <c r="R589" s="80"/>
      <c r="S589" s="103">
        <v>7932</v>
      </c>
      <c r="T589" s="80"/>
    </row>
    <row r="590" spans="1:20" x14ac:dyDescent="0.35">
      <c r="A590" s="83" t="s">
        <v>172</v>
      </c>
      <c r="D590" s="83" t="s">
        <v>2619</v>
      </c>
      <c r="F590" s="89">
        <v>30000</v>
      </c>
      <c r="H590" s="89">
        <v>28085</v>
      </c>
      <c r="J590" s="89">
        <v>42000</v>
      </c>
      <c r="K590" s="89"/>
      <c r="M590" s="80">
        <f t="shared" si="41"/>
        <v>10500</v>
      </c>
      <c r="O590" s="103">
        <v>3776</v>
      </c>
      <c r="P590" s="80"/>
      <c r="Q590" s="87">
        <f t="shared" si="40"/>
        <v>6724</v>
      </c>
      <c r="R590" s="80"/>
      <c r="S590" s="103">
        <v>7268</v>
      </c>
      <c r="T590" s="80"/>
    </row>
    <row r="591" spans="1:20" x14ac:dyDescent="0.35">
      <c r="A591" s="83" t="s">
        <v>173</v>
      </c>
      <c r="D591" s="83" t="s">
        <v>1158</v>
      </c>
      <c r="F591" s="89">
        <v>600</v>
      </c>
      <c r="H591" s="89">
        <v>0</v>
      </c>
      <c r="J591" s="89">
        <v>600</v>
      </c>
      <c r="K591" s="89"/>
      <c r="M591" s="80">
        <f t="shared" si="41"/>
        <v>150</v>
      </c>
      <c r="O591" s="103">
        <v>0</v>
      </c>
      <c r="P591" s="80"/>
      <c r="Q591" s="87">
        <f t="shared" si="40"/>
        <v>150</v>
      </c>
      <c r="R591" s="80"/>
      <c r="S591" s="103">
        <v>0</v>
      </c>
      <c r="T591" s="80"/>
    </row>
    <row r="592" spans="1:20" x14ac:dyDescent="0.35">
      <c r="A592" s="83" t="s">
        <v>174</v>
      </c>
      <c r="D592" s="83" t="s">
        <v>2623</v>
      </c>
      <c r="F592" s="89">
        <v>15000</v>
      </c>
      <c r="H592" s="89">
        <v>27936</v>
      </c>
      <c r="J592" s="89">
        <v>15000</v>
      </c>
      <c r="K592" s="89"/>
      <c r="M592" s="80">
        <f t="shared" si="41"/>
        <v>3750</v>
      </c>
      <c r="O592" s="103">
        <v>8889</v>
      </c>
      <c r="Q592" s="87">
        <f t="shared" si="40"/>
        <v>-5139</v>
      </c>
      <c r="S592" s="103">
        <v>4341</v>
      </c>
    </row>
    <row r="593" spans="1:19" x14ac:dyDescent="0.35">
      <c r="A593" s="83" t="s">
        <v>175</v>
      </c>
      <c r="D593" s="83" t="s">
        <v>2625</v>
      </c>
      <c r="F593" s="89">
        <v>500</v>
      </c>
      <c r="H593" s="89">
        <v>11279</v>
      </c>
      <c r="J593" s="89">
        <v>500</v>
      </c>
      <c r="K593" s="89"/>
      <c r="M593" s="80">
        <f t="shared" si="41"/>
        <v>125</v>
      </c>
      <c r="O593" s="103">
        <v>198</v>
      </c>
      <c r="Q593" s="87">
        <f t="shared" si="40"/>
        <v>-73</v>
      </c>
      <c r="S593" s="103">
        <v>817</v>
      </c>
    </row>
    <row r="594" spans="1:19" x14ac:dyDescent="0.35">
      <c r="A594" s="83" t="s">
        <v>176</v>
      </c>
      <c r="D594" s="83" t="s">
        <v>1082</v>
      </c>
      <c r="F594" s="89">
        <v>500</v>
      </c>
      <c r="H594" s="89">
        <v>400</v>
      </c>
      <c r="J594" s="89">
        <v>500</v>
      </c>
      <c r="K594" s="89"/>
      <c r="M594" s="80">
        <f t="shared" si="41"/>
        <v>125</v>
      </c>
      <c r="O594" s="103">
        <v>0</v>
      </c>
      <c r="Q594" s="87">
        <f t="shared" si="40"/>
        <v>125</v>
      </c>
      <c r="S594" s="103">
        <v>0</v>
      </c>
    </row>
    <row r="595" spans="1:19" x14ac:dyDescent="0.35">
      <c r="A595" s="83" t="s">
        <v>177</v>
      </c>
      <c r="D595" s="83" t="s">
        <v>1159</v>
      </c>
      <c r="F595" s="89">
        <v>60000</v>
      </c>
      <c r="H595" s="89">
        <v>76013</v>
      </c>
      <c r="J595" s="89">
        <v>45000</v>
      </c>
      <c r="K595" s="89"/>
      <c r="M595" s="80">
        <f t="shared" si="41"/>
        <v>11250</v>
      </c>
      <c r="O595" s="103">
        <v>4699</v>
      </c>
      <c r="Q595" s="87">
        <f t="shared" si="40"/>
        <v>6551</v>
      </c>
      <c r="S595" s="103">
        <v>13410</v>
      </c>
    </row>
    <row r="596" spans="1:19" x14ac:dyDescent="0.35">
      <c r="A596" s="83" t="s">
        <v>178</v>
      </c>
      <c r="D596" s="83" t="s">
        <v>1160</v>
      </c>
      <c r="F596" s="89">
        <v>50000</v>
      </c>
      <c r="H596" s="89">
        <v>39224</v>
      </c>
      <c r="J596" s="89">
        <v>20500</v>
      </c>
      <c r="K596" s="89"/>
      <c r="M596" s="80">
        <f t="shared" si="41"/>
        <v>5125</v>
      </c>
      <c r="O596" s="103">
        <v>4467</v>
      </c>
      <c r="Q596" s="87">
        <f t="shared" si="40"/>
        <v>658</v>
      </c>
      <c r="S596" s="103">
        <v>5931</v>
      </c>
    </row>
    <row r="597" spans="1:19" hidden="1" x14ac:dyDescent="0.35">
      <c r="A597" s="83" t="s">
        <v>179</v>
      </c>
      <c r="D597" s="83" t="s">
        <v>180</v>
      </c>
      <c r="F597" s="89">
        <v>0</v>
      </c>
      <c r="H597" s="89">
        <v>0</v>
      </c>
      <c r="J597" s="89"/>
      <c r="K597" s="89"/>
      <c r="M597" s="80">
        <f t="shared" si="41"/>
        <v>0</v>
      </c>
      <c r="O597" s="103">
        <v>0</v>
      </c>
      <c r="Q597" s="87">
        <f t="shared" si="40"/>
        <v>0</v>
      </c>
      <c r="S597" s="103">
        <v>0</v>
      </c>
    </row>
    <row r="598" spans="1:19" x14ac:dyDescent="0.35">
      <c r="A598" s="83" t="s">
        <v>181</v>
      </c>
      <c r="D598" s="83" t="s">
        <v>1161</v>
      </c>
      <c r="F598" s="89">
        <v>10000</v>
      </c>
      <c r="H598" s="89">
        <v>7000</v>
      </c>
      <c r="J598" s="89">
        <v>4000</v>
      </c>
      <c r="K598" s="89"/>
      <c r="M598" s="80">
        <f t="shared" si="41"/>
        <v>1000</v>
      </c>
      <c r="O598" s="103">
        <v>0</v>
      </c>
      <c r="Q598" s="87">
        <f t="shared" si="40"/>
        <v>1000</v>
      </c>
      <c r="S598" s="103">
        <v>0</v>
      </c>
    </row>
    <row r="599" spans="1:19" x14ac:dyDescent="0.35">
      <c r="A599" s="83" t="s">
        <v>182</v>
      </c>
      <c r="D599" s="83" t="s">
        <v>1061</v>
      </c>
      <c r="F599" s="103">
        <v>0</v>
      </c>
      <c r="H599" s="103">
        <v>0</v>
      </c>
      <c r="J599" s="103">
        <v>0</v>
      </c>
      <c r="K599" s="103"/>
      <c r="M599" s="80">
        <f t="shared" si="41"/>
        <v>0</v>
      </c>
      <c r="O599" s="103">
        <v>0</v>
      </c>
      <c r="Q599" s="87">
        <f t="shared" si="40"/>
        <v>0</v>
      </c>
      <c r="S599" s="103">
        <v>5216</v>
      </c>
    </row>
    <row r="600" spans="1:19" hidden="1" x14ac:dyDescent="0.35">
      <c r="A600" s="83" t="s">
        <v>183</v>
      </c>
      <c r="D600" s="83" t="s">
        <v>1162</v>
      </c>
      <c r="F600" s="89">
        <v>0</v>
      </c>
      <c r="H600" s="89">
        <v>0</v>
      </c>
      <c r="J600" s="89"/>
      <c r="K600" s="89"/>
      <c r="M600" s="80">
        <f t="shared" si="41"/>
        <v>0</v>
      </c>
      <c r="O600" s="103">
        <v>0</v>
      </c>
      <c r="Q600" s="87">
        <f t="shared" si="40"/>
        <v>0</v>
      </c>
      <c r="S600" s="103">
        <v>0</v>
      </c>
    </row>
    <row r="601" spans="1:19" x14ac:dyDescent="0.35">
      <c r="A601" s="83" t="s">
        <v>184</v>
      </c>
      <c r="D601" s="83" t="s">
        <v>2631</v>
      </c>
      <c r="F601" s="89">
        <v>10000</v>
      </c>
      <c r="H601" s="89">
        <f>-1321+11234</f>
        <v>9913</v>
      </c>
      <c r="J601" s="89">
        <v>3000</v>
      </c>
      <c r="K601" s="89"/>
      <c r="M601" s="80">
        <f t="shared" si="41"/>
        <v>750</v>
      </c>
      <c r="O601" s="103">
        <v>898</v>
      </c>
      <c r="Q601" s="87">
        <f t="shared" si="40"/>
        <v>-148</v>
      </c>
      <c r="S601" s="103">
        <v>857</v>
      </c>
    </row>
    <row r="602" spans="1:19" x14ac:dyDescent="0.35">
      <c r="A602" s="83" t="s">
        <v>185</v>
      </c>
      <c r="D602" s="83" t="s">
        <v>1293</v>
      </c>
      <c r="F602" s="89">
        <v>20000</v>
      </c>
      <c r="H602" s="89">
        <v>25719</v>
      </c>
      <c r="J602" s="89">
        <v>10000</v>
      </c>
      <c r="K602" s="89"/>
      <c r="M602" s="80">
        <f t="shared" si="41"/>
        <v>2500</v>
      </c>
      <c r="O602" s="103">
        <v>2500</v>
      </c>
      <c r="Q602" s="87">
        <f t="shared" si="40"/>
        <v>0</v>
      </c>
      <c r="S602" s="103">
        <v>1389</v>
      </c>
    </row>
    <row r="603" spans="1:19" x14ac:dyDescent="0.35">
      <c r="A603" s="83" t="s">
        <v>186</v>
      </c>
      <c r="D603" s="83" t="s">
        <v>2655</v>
      </c>
      <c r="F603" s="89">
        <v>35000</v>
      </c>
      <c r="H603" s="89">
        <v>3591</v>
      </c>
      <c r="J603" s="89">
        <v>15219</v>
      </c>
      <c r="K603" s="89"/>
      <c r="M603" s="80">
        <f t="shared" si="41"/>
        <v>3804.75</v>
      </c>
      <c r="O603" s="103">
        <v>0</v>
      </c>
      <c r="Q603" s="87">
        <f t="shared" si="40"/>
        <v>3804.75</v>
      </c>
      <c r="S603" s="103">
        <v>0</v>
      </c>
    </row>
    <row r="604" spans="1:19" x14ac:dyDescent="0.35">
      <c r="A604" s="83" t="s">
        <v>187</v>
      </c>
      <c r="D604" s="83" t="s">
        <v>2684</v>
      </c>
      <c r="F604" s="103">
        <v>0</v>
      </c>
      <c r="H604" s="89">
        <v>12675</v>
      </c>
      <c r="J604" s="103">
        <v>0</v>
      </c>
      <c r="K604" s="103"/>
      <c r="M604" s="80">
        <f t="shared" si="41"/>
        <v>0</v>
      </c>
      <c r="O604" s="103">
        <v>0</v>
      </c>
      <c r="Q604" s="87">
        <f t="shared" si="40"/>
        <v>0</v>
      </c>
      <c r="S604" s="103">
        <v>1481</v>
      </c>
    </row>
    <row r="605" spans="1:19" x14ac:dyDescent="0.35">
      <c r="A605" s="83" t="s">
        <v>188</v>
      </c>
      <c r="D605" s="83" t="s">
        <v>2796</v>
      </c>
      <c r="F605" s="103">
        <v>0</v>
      </c>
      <c r="H605" s="89">
        <v>920</v>
      </c>
      <c r="J605" s="103">
        <v>0</v>
      </c>
      <c r="K605" s="103"/>
      <c r="M605" s="80">
        <f t="shared" si="41"/>
        <v>0</v>
      </c>
      <c r="O605" s="103">
        <v>0</v>
      </c>
      <c r="Q605" s="87">
        <f t="shared" si="40"/>
        <v>0</v>
      </c>
      <c r="S605" s="103">
        <v>0</v>
      </c>
    </row>
    <row r="606" spans="1:19" hidden="1" x14ac:dyDescent="0.35">
      <c r="A606" s="83" t="s">
        <v>189</v>
      </c>
      <c r="D606" s="83" t="s">
        <v>190</v>
      </c>
      <c r="F606" s="89">
        <v>0</v>
      </c>
      <c r="H606" s="89">
        <v>0</v>
      </c>
      <c r="J606" s="89"/>
      <c r="K606" s="89"/>
      <c r="M606" s="80">
        <f t="shared" si="41"/>
        <v>0</v>
      </c>
      <c r="O606" s="103">
        <v>0</v>
      </c>
      <c r="Q606" s="87">
        <f t="shared" si="40"/>
        <v>0</v>
      </c>
      <c r="S606" s="103">
        <v>0</v>
      </c>
    </row>
    <row r="607" spans="1:19" hidden="1" x14ac:dyDescent="0.35">
      <c r="A607" s="83" t="s">
        <v>191</v>
      </c>
      <c r="D607" s="83" t="s">
        <v>192</v>
      </c>
      <c r="F607" s="89">
        <v>0</v>
      </c>
      <c r="H607" s="89">
        <v>0</v>
      </c>
      <c r="J607" s="89"/>
      <c r="K607" s="89"/>
      <c r="M607" s="80">
        <f t="shared" si="41"/>
        <v>0</v>
      </c>
      <c r="O607" s="103">
        <v>0</v>
      </c>
      <c r="Q607" s="87">
        <f t="shared" si="40"/>
        <v>0</v>
      </c>
      <c r="S607" s="103">
        <v>0</v>
      </c>
    </row>
    <row r="608" spans="1:19" x14ac:dyDescent="0.35">
      <c r="A608" s="83" t="s">
        <v>193</v>
      </c>
      <c r="D608" s="83" t="s">
        <v>1163</v>
      </c>
      <c r="F608" s="89">
        <v>1250</v>
      </c>
      <c r="H608" s="103">
        <v>0</v>
      </c>
      <c r="J608" s="89">
        <v>1250</v>
      </c>
      <c r="K608" s="89"/>
      <c r="M608" s="80">
        <f t="shared" si="41"/>
        <v>312.5</v>
      </c>
      <c r="O608" s="103">
        <v>0</v>
      </c>
      <c r="Q608" s="87">
        <f t="shared" si="40"/>
        <v>312.5</v>
      </c>
      <c r="S608" s="103">
        <v>0</v>
      </c>
    </row>
    <row r="609" spans="1:19" x14ac:dyDescent="0.35">
      <c r="A609" s="83" t="s">
        <v>194</v>
      </c>
      <c r="D609" s="83" t="s">
        <v>195</v>
      </c>
      <c r="F609" s="89">
        <v>10000</v>
      </c>
      <c r="H609" s="89">
        <v>30619</v>
      </c>
      <c r="J609" s="103">
        <v>0</v>
      </c>
      <c r="K609" s="103"/>
      <c r="M609" s="80">
        <f t="shared" si="41"/>
        <v>0</v>
      </c>
      <c r="O609" s="103">
        <v>0</v>
      </c>
      <c r="Q609" s="87">
        <f t="shared" si="40"/>
        <v>0</v>
      </c>
      <c r="S609" s="103">
        <v>0</v>
      </c>
    </row>
    <row r="610" spans="1:19" x14ac:dyDescent="0.35">
      <c r="A610" s="83" t="s">
        <v>196</v>
      </c>
      <c r="D610" s="83" t="s">
        <v>2658</v>
      </c>
      <c r="F610" s="103">
        <v>0</v>
      </c>
      <c r="H610" s="89">
        <v>29587</v>
      </c>
      <c r="J610" s="89">
        <v>-6</v>
      </c>
      <c r="K610" s="89"/>
      <c r="M610" s="80">
        <f t="shared" si="41"/>
        <v>-1.5</v>
      </c>
      <c r="O610" s="103">
        <v>0</v>
      </c>
      <c r="Q610" s="87">
        <f t="shared" si="40"/>
        <v>-1.5</v>
      </c>
      <c r="S610" s="103">
        <v>9808</v>
      </c>
    </row>
    <row r="611" spans="1:19" ht="13.9" x14ac:dyDescent="0.4">
      <c r="B611" s="83"/>
      <c r="D611" s="88" t="s">
        <v>1042</v>
      </c>
      <c r="F611" s="90">
        <f>SUM(F565:F610)</f>
        <v>684490</v>
      </c>
      <c r="H611" s="90">
        <f>SUM(H565:H610)</f>
        <v>675997</v>
      </c>
      <c r="J611" s="90">
        <f>SUM(J565:J610)</f>
        <v>627681</v>
      </c>
      <c r="K611" s="137"/>
      <c r="M611" s="90">
        <f>SUM(M565:M610)</f>
        <v>156920.25</v>
      </c>
      <c r="O611" s="90">
        <f>SUM(O565:O610)</f>
        <v>138781</v>
      </c>
      <c r="Q611" s="91">
        <f>SUM(Q565:Q610)</f>
        <v>18139.25</v>
      </c>
      <c r="S611" s="91">
        <f>SUM(S565:S610)</f>
        <v>140455</v>
      </c>
    </row>
    <row r="612" spans="1:19" x14ac:dyDescent="0.35">
      <c r="F612" s="92"/>
      <c r="H612" s="92"/>
      <c r="J612" s="92"/>
      <c r="K612" s="92"/>
      <c r="M612" s="92"/>
      <c r="O612" s="92"/>
      <c r="Q612" s="95"/>
      <c r="S612" s="95"/>
    </row>
    <row r="613" spans="1:19" ht="13.9" x14ac:dyDescent="0.35">
      <c r="D613" s="82" t="s">
        <v>1164</v>
      </c>
      <c r="F613" s="92"/>
      <c r="H613" s="92"/>
      <c r="J613" s="92"/>
      <c r="K613" s="92"/>
      <c r="M613" s="92"/>
      <c r="O613" s="92"/>
      <c r="Q613" s="95"/>
      <c r="S613" s="95"/>
    </row>
    <row r="614" spans="1:19" hidden="1" x14ac:dyDescent="0.35">
      <c r="A614" s="83" t="s">
        <v>197</v>
      </c>
      <c r="D614" s="83" t="s">
        <v>198</v>
      </c>
      <c r="F614" s="89">
        <v>0</v>
      </c>
      <c r="H614" s="89">
        <v>0</v>
      </c>
      <c r="J614" s="89">
        <v>0</v>
      </c>
      <c r="K614" s="89"/>
      <c r="M614" s="89">
        <v>0</v>
      </c>
      <c r="O614" s="89">
        <v>0</v>
      </c>
      <c r="Q614" s="103">
        <v>0</v>
      </c>
      <c r="S614" s="103">
        <v>0</v>
      </c>
    </row>
    <row r="615" spans="1:19" hidden="1" x14ac:dyDescent="0.35">
      <c r="A615" s="83" t="s">
        <v>199</v>
      </c>
      <c r="D615" s="83" t="s">
        <v>200</v>
      </c>
      <c r="F615" s="89">
        <v>0</v>
      </c>
      <c r="H615" s="89">
        <v>0</v>
      </c>
      <c r="J615" s="89">
        <v>0</v>
      </c>
      <c r="K615" s="89"/>
      <c r="M615" s="89">
        <v>0</v>
      </c>
      <c r="O615" s="89">
        <v>0</v>
      </c>
      <c r="Q615" s="103">
        <v>0</v>
      </c>
      <c r="S615" s="103">
        <v>0</v>
      </c>
    </row>
    <row r="616" spans="1:19" hidden="1" x14ac:dyDescent="0.35">
      <c r="A616" s="83" t="s">
        <v>201</v>
      </c>
      <c r="D616" s="83" t="s">
        <v>202</v>
      </c>
      <c r="F616" s="89">
        <v>0</v>
      </c>
      <c r="H616" s="89">
        <v>0</v>
      </c>
      <c r="J616" s="89">
        <v>0</v>
      </c>
      <c r="K616" s="89"/>
      <c r="M616" s="89">
        <v>0</v>
      </c>
      <c r="O616" s="89">
        <v>0</v>
      </c>
      <c r="Q616" s="103">
        <v>0</v>
      </c>
      <c r="S616" s="103">
        <v>0</v>
      </c>
    </row>
    <row r="617" spans="1:19" hidden="1" x14ac:dyDescent="0.35">
      <c r="A617" s="83" t="s">
        <v>203</v>
      </c>
      <c r="D617" s="83" t="s">
        <v>204</v>
      </c>
      <c r="F617" s="89">
        <v>0</v>
      </c>
      <c r="H617" s="89">
        <v>0</v>
      </c>
      <c r="J617" s="89">
        <v>0</v>
      </c>
      <c r="K617" s="89"/>
      <c r="M617" s="89">
        <v>0</v>
      </c>
      <c r="O617" s="89">
        <v>0</v>
      </c>
      <c r="Q617" s="103">
        <v>0</v>
      </c>
      <c r="S617" s="103">
        <v>0</v>
      </c>
    </row>
    <row r="618" spans="1:19" hidden="1" x14ac:dyDescent="0.35">
      <c r="A618" s="83" t="s">
        <v>205</v>
      </c>
      <c r="D618" s="83" t="s">
        <v>206</v>
      </c>
      <c r="F618" s="89">
        <v>0</v>
      </c>
      <c r="H618" s="89">
        <v>0</v>
      </c>
      <c r="J618" s="89">
        <v>0</v>
      </c>
      <c r="K618" s="89"/>
      <c r="M618" s="89">
        <v>0</v>
      </c>
      <c r="O618" s="89">
        <v>0</v>
      </c>
      <c r="Q618" s="103">
        <v>0</v>
      </c>
      <c r="S618" s="103">
        <v>0</v>
      </c>
    </row>
    <row r="619" spans="1:19" x14ac:dyDescent="0.35">
      <c r="A619" s="83" t="s">
        <v>207</v>
      </c>
      <c r="D619" s="83" t="s">
        <v>1167</v>
      </c>
      <c r="F619" s="89">
        <v>24000</v>
      </c>
      <c r="H619" s="89">
        <v>26628</v>
      </c>
      <c r="J619" s="89">
        <v>24000</v>
      </c>
      <c r="K619" s="89"/>
      <c r="M619" s="80">
        <f>+J619/12*3</f>
        <v>6000</v>
      </c>
      <c r="O619" s="89">
        <v>6000</v>
      </c>
      <c r="Q619" s="87">
        <f>+M619-O619</f>
        <v>0</v>
      </c>
      <c r="S619" s="103">
        <v>6000</v>
      </c>
    </row>
    <row r="620" spans="1:19" ht="13.9" x14ac:dyDescent="0.4">
      <c r="B620" s="83"/>
      <c r="D620" s="88" t="s">
        <v>1042</v>
      </c>
      <c r="F620" s="93">
        <f>SUM(F614:F619)</f>
        <v>24000</v>
      </c>
      <c r="H620" s="93">
        <f>SUM(H614:H619)</f>
        <v>26628</v>
      </c>
      <c r="J620" s="93">
        <f>SUM(J614:J619)</f>
        <v>24000</v>
      </c>
      <c r="K620" s="138"/>
      <c r="M620" s="93">
        <f>SUM(M614:M619)</f>
        <v>6000</v>
      </c>
      <c r="O620" s="93">
        <f>SUM(O614:O619)</f>
        <v>6000</v>
      </c>
      <c r="Q620" s="94">
        <f>SUM(Q614:Q619)</f>
        <v>0</v>
      </c>
      <c r="S620" s="94">
        <f>SUM(S614:S619)</f>
        <v>6000</v>
      </c>
    </row>
    <row r="621" spans="1:19" x14ac:dyDescent="0.35">
      <c r="F621" s="92"/>
      <c r="H621" s="92"/>
      <c r="J621" s="92"/>
      <c r="K621" s="92"/>
      <c r="M621" s="92"/>
      <c r="O621" s="92"/>
      <c r="Q621" s="95"/>
      <c r="S621" s="95"/>
    </row>
    <row r="622" spans="1:19" ht="13.9" x14ac:dyDescent="0.35">
      <c r="A622" s="82"/>
      <c r="D622" s="82" t="s">
        <v>1165</v>
      </c>
      <c r="F622" s="92"/>
      <c r="H622" s="92"/>
      <c r="J622" s="92"/>
      <c r="K622" s="92"/>
      <c r="M622" s="92"/>
      <c r="O622" s="92"/>
      <c r="Q622" s="95"/>
      <c r="S622" s="95"/>
    </row>
    <row r="623" spans="1:19" x14ac:dyDescent="0.35">
      <c r="A623" s="83" t="s">
        <v>208</v>
      </c>
      <c r="D623" s="83" t="s">
        <v>1166</v>
      </c>
      <c r="F623" s="89">
        <v>24000</v>
      </c>
      <c r="H623" s="89">
        <v>24000</v>
      </c>
      <c r="J623" s="89">
        <v>24000</v>
      </c>
      <c r="K623" s="89"/>
      <c r="M623" s="80">
        <f>+J623/12*3</f>
        <v>6000</v>
      </c>
      <c r="O623" s="89">
        <v>6000</v>
      </c>
      <c r="Q623" s="87">
        <f>+M623-O623</f>
        <v>0</v>
      </c>
      <c r="S623" s="103">
        <v>6000</v>
      </c>
    </row>
    <row r="624" spans="1:19" ht="13.9" x14ac:dyDescent="0.4">
      <c r="B624" s="83"/>
      <c r="D624" s="88" t="s">
        <v>1042</v>
      </c>
      <c r="F624" s="93">
        <f>+F623</f>
        <v>24000</v>
      </c>
      <c r="H624" s="93">
        <f>+H623</f>
        <v>24000</v>
      </c>
      <c r="J624" s="93">
        <f>+J623</f>
        <v>24000</v>
      </c>
      <c r="K624" s="138"/>
      <c r="M624" s="93">
        <f>+M623</f>
        <v>6000</v>
      </c>
      <c r="O624" s="93">
        <f>+O623</f>
        <v>6000</v>
      </c>
      <c r="Q624" s="94">
        <f>+Q623</f>
        <v>0</v>
      </c>
      <c r="S624" s="94">
        <f>+S623</f>
        <v>6000</v>
      </c>
    </row>
    <row r="625" spans="1:19" x14ac:dyDescent="0.35">
      <c r="F625" s="92"/>
      <c r="H625" s="92"/>
      <c r="J625" s="92"/>
      <c r="K625" s="92"/>
      <c r="M625" s="92"/>
      <c r="O625" s="92"/>
      <c r="Q625" s="95"/>
      <c r="S625" s="95"/>
    </row>
    <row r="626" spans="1:19" ht="13.9" x14ac:dyDescent="0.35">
      <c r="D626" s="82" t="s">
        <v>1168</v>
      </c>
      <c r="F626" s="92"/>
      <c r="H626" s="92"/>
      <c r="J626" s="92"/>
      <c r="K626" s="92"/>
      <c r="M626" s="92"/>
      <c r="O626" s="92"/>
      <c r="Q626" s="95"/>
      <c r="S626" s="95"/>
    </row>
    <row r="627" spans="1:19" hidden="1" x14ac:dyDescent="0.35">
      <c r="A627" s="83" t="s">
        <v>209</v>
      </c>
      <c r="D627" s="83" t="s">
        <v>2662</v>
      </c>
      <c r="F627" s="89">
        <v>0</v>
      </c>
      <c r="H627" s="89">
        <v>0</v>
      </c>
      <c r="J627" s="89">
        <v>0</v>
      </c>
      <c r="K627" s="89"/>
      <c r="M627" s="89">
        <v>0</v>
      </c>
      <c r="O627" s="89">
        <v>0</v>
      </c>
      <c r="Q627" s="103">
        <v>0</v>
      </c>
      <c r="S627" s="103">
        <v>0</v>
      </c>
    </row>
    <row r="628" spans="1:19" hidden="1" x14ac:dyDescent="0.35">
      <c r="A628" s="83" t="s">
        <v>210</v>
      </c>
      <c r="D628" s="83" t="s">
        <v>211</v>
      </c>
      <c r="F628" s="89">
        <v>0</v>
      </c>
      <c r="H628" s="89">
        <v>0</v>
      </c>
      <c r="J628" s="89">
        <v>0</v>
      </c>
      <c r="K628" s="89"/>
      <c r="M628" s="89">
        <v>0</v>
      </c>
      <c r="O628" s="89">
        <v>0</v>
      </c>
      <c r="Q628" s="103">
        <v>0</v>
      </c>
      <c r="S628" s="103">
        <v>0</v>
      </c>
    </row>
    <row r="629" spans="1:19" hidden="1" x14ac:dyDescent="0.35">
      <c r="A629" s="83" t="s">
        <v>212</v>
      </c>
      <c r="D629" s="83" t="s">
        <v>213</v>
      </c>
      <c r="F629" s="89">
        <v>0</v>
      </c>
      <c r="H629" s="89">
        <v>0</v>
      </c>
      <c r="J629" s="89">
        <v>0</v>
      </c>
      <c r="K629" s="89"/>
      <c r="M629" s="89">
        <v>0</v>
      </c>
      <c r="O629" s="89">
        <v>0</v>
      </c>
      <c r="Q629" s="103">
        <v>0</v>
      </c>
      <c r="S629" s="103">
        <v>0</v>
      </c>
    </row>
    <row r="630" spans="1:19" hidden="1" x14ac:dyDescent="0.35">
      <c r="A630" s="83" t="s">
        <v>214</v>
      </c>
      <c r="D630" s="83" t="s">
        <v>215</v>
      </c>
      <c r="F630" s="89">
        <v>0</v>
      </c>
      <c r="H630" s="89">
        <v>0</v>
      </c>
      <c r="J630" s="89">
        <v>0</v>
      </c>
      <c r="K630" s="89"/>
      <c r="M630" s="89">
        <v>0</v>
      </c>
      <c r="O630" s="89">
        <v>0</v>
      </c>
      <c r="Q630" s="103">
        <v>0</v>
      </c>
      <c r="S630" s="103">
        <v>0</v>
      </c>
    </row>
    <row r="631" spans="1:19" hidden="1" x14ac:dyDescent="0.35">
      <c r="A631" s="83" t="s">
        <v>216</v>
      </c>
      <c r="D631" s="83" t="s">
        <v>217</v>
      </c>
      <c r="F631" s="89">
        <v>0</v>
      </c>
      <c r="H631" s="89">
        <v>0</v>
      </c>
      <c r="J631" s="89">
        <v>0</v>
      </c>
      <c r="K631" s="89"/>
      <c r="M631" s="89">
        <v>0</v>
      </c>
      <c r="O631" s="89">
        <v>0</v>
      </c>
      <c r="Q631" s="103">
        <v>0</v>
      </c>
      <c r="S631" s="103">
        <v>0</v>
      </c>
    </row>
    <row r="632" spans="1:19" hidden="1" x14ac:dyDescent="0.35">
      <c r="A632" s="83" t="s">
        <v>218</v>
      </c>
      <c r="D632" s="83" t="s">
        <v>219</v>
      </c>
      <c r="F632" s="89">
        <v>0</v>
      </c>
      <c r="H632" s="89">
        <v>0</v>
      </c>
      <c r="J632" s="89">
        <v>0</v>
      </c>
      <c r="K632" s="89"/>
      <c r="M632" s="89">
        <v>0</v>
      </c>
      <c r="O632" s="89">
        <v>0</v>
      </c>
      <c r="Q632" s="103">
        <v>0</v>
      </c>
      <c r="S632" s="103">
        <v>0</v>
      </c>
    </row>
    <row r="633" spans="1:19" x14ac:dyDescent="0.35">
      <c r="A633" s="83" t="s">
        <v>220</v>
      </c>
      <c r="D633" s="83" t="s">
        <v>2623</v>
      </c>
      <c r="F633" s="89">
        <v>13500</v>
      </c>
      <c r="H633" s="89">
        <v>11499</v>
      </c>
      <c r="J633" s="89">
        <v>14500</v>
      </c>
      <c r="K633" s="89"/>
      <c r="M633" s="80">
        <f>+J633/12*3</f>
        <v>3625</v>
      </c>
      <c r="O633" s="103">
        <v>0</v>
      </c>
      <c r="Q633" s="87">
        <f>+M633-O633</f>
        <v>3625</v>
      </c>
      <c r="S633" s="103">
        <v>4270</v>
      </c>
    </row>
    <row r="634" spans="1:19" hidden="1" x14ac:dyDescent="0.35">
      <c r="A634" s="83" t="s">
        <v>221</v>
      </c>
      <c r="D634" s="83" t="s">
        <v>222</v>
      </c>
      <c r="F634" s="89">
        <v>0</v>
      </c>
      <c r="H634" s="89">
        <v>0</v>
      </c>
      <c r="J634" s="89">
        <v>0</v>
      </c>
      <c r="K634" s="89"/>
      <c r="M634" s="89">
        <v>0</v>
      </c>
      <c r="O634" s="89">
        <v>0</v>
      </c>
      <c r="Q634" s="103">
        <v>0</v>
      </c>
      <c r="S634" s="103">
        <v>0</v>
      </c>
    </row>
    <row r="635" spans="1:19" hidden="1" x14ac:dyDescent="0.35">
      <c r="A635" s="83" t="s">
        <v>223</v>
      </c>
      <c r="D635" s="83" t="s">
        <v>224</v>
      </c>
      <c r="F635" s="89">
        <v>0</v>
      </c>
      <c r="H635" s="89">
        <v>0</v>
      </c>
      <c r="J635" s="89">
        <v>0</v>
      </c>
      <c r="K635" s="89"/>
      <c r="M635" s="89">
        <v>0</v>
      </c>
      <c r="O635" s="89">
        <v>0</v>
      </c>
      <c r="Q635" s="103">
        <v>0</v>
      </c>
      <c r="S635" s="103">
        <v>0</v>
      </c>
    </row>
    <row r="636" spans="1:19" hidden="1" x14ac:dyDescent="0.35">
      <c r="A636" s="83" t="s">
        <v>225</v>
      </c>
      <c r="D636" s="83" t="s">
        <v>226</v>
      </c>
      <c r="F636" s="89">
        <v>0</v>
      </c>
      <c r="H636" s="89">
        <v>0</v>
      </c>
      <c r="J636" s="89">
        <v>0</v>
      </c>
      <c r="K636" s="89"/>
      <c r="M636" s="89">
        <v>0</v>
      </c>
      <c r="O636" s="89">
        <v>0</v>
      </c>
      <c r="Q636" s="103">
        <v>0</v>
      </c>
      <c r="S636" s="103">
        <v>0</v>
      </c>
    </row>
    <row r="637" spans="1:19" hidden="1" x14ac:dyDescent="0.35">
      <c r="A637" s="83" t="s">
        <v>227</v>
      </c>
      <c r="D637" s="83" t="s">
        <v>228</v>
      </c>
      <c r="F637" s="89">
        <v>0</v>
      </c>
      <c r="H637" s="89">
        <v>0</v>
      </c>
      <c r="J637" s="89">
        <v>0</v>
      </c>
      <c r="K637" s="89"/>
      <c r="M637" s="89">
        <v>0</v>
      </c>
      <c r="O637" s="89">
        <v>0</v>
      </c>
      <c r="Q637" s="103">
        <v>0</v>
      </c>
      <c r="S637" s="103">
        <v>0</v>
      </c>
    </row>
    <row r="638" spans="1:19" hidden="1" x14ac:dyDescent="0.35">
      <c r="A638" s="83" t="s">
        <v>229</v>
      </c>
      <c r="D638" s="83" t="s">
        <v>230</v>
      </c>
      <c r="F638" s="89">
        <v>0</v>
      </c>
      <c r="H638" s="89">
        <v>0</v>
      </c>
      <c r="J638" s="89">
        <v>0</v>
      </c>
      <c r="K638" s="89"/>
      <c r="M638" s="89">
        <v>0</v>
      </c>
      <c r="O638" s="89">
        <v>0</v>
      </c>
      <c r="Q638" s="103">
        <v>0</v>
      </c>
      <c r="S638" s="103">
        <v>0</v>
      </c>
    </row>
    <row r="639" spans="1:19" hidden="1" x14ac:dyDescent="0.35">
      <c r="A639" s="83" t="s">
        <v>231</v>
      </c>
      <c r="D639" s="83" t="s">
        <v>232</v>
      </c>
      <c r="F639" s="89">
        <v>0</v>
      </c>
      <c r="H639" s="89">
        <v>0</v>
      </c>
      <c r="J639" s="89">
        <v>0</v>
      </c>
      <c r="K639" s="89"/>
      <c r="M639" s="89">
        <v>0</v>
      </c>
      <c r="O639" s="89">
        <v>0</v>
      </c>
      <c r="Q639" s="103">
        <v>0</v>
      </c>
      <c r="S639" s="103">
        <v>0</v>
      </c>
    </row>
    <row r="640" spans="1:19" hidden="1" x14ac:dyDescent="0.35">
      <c r="A640" s="83" t="s">
        <v>233</v>
      </c>
      <c r="D640" s="83" t="s">
        <v>234</v>
      </c>
      <c r="F640" s="89">
        <v>0</v>
      </c>
      <c r="H640" s="89">
        <v>0</v>
      </c>
      <c r="J640" s="89">
        <v>0</v>
      </c>
      <c r="K640" s="89"/>
      <c r="M640" s="89">
        <v>0</v>
      </c>
      <c r="O640" s="89">
        <v>0</v>
      </c>
      <c r="Q640" s="103">
        <v>0</v>
      </c>
      <c r="S640" s="103">
        <v>0</v>
      </c>
    </row>
    <row r="641" spans="1:19" hidden="1" x14ac:dyDescent="0.35">
      <c r="A641" s="83" t="s">
        <v>235</v>
      </c>
      <c r="D641" s="83" t="s">
        <v>236</v>
      </c>
      <c r="F641" s="89">
        <v>0</v>
      </c>
      <c r="H641" s="89">
        <v>0</v>
      </c>
      <c r="J641" s="89">
        <v>0</v>
      </c>
      <c r="K641" s="89"/>
      <c r="M641" s="89">
        <v>0</v>
      </c>
      <c r="O641" s="89">
        <v>0</v>
      </c>
      <c r="Q641" s="103">
        <v>0</v>
      </c>
      <c r="S641" s="103">
        <v>0</v>
      </c>
    </row>
    <row r="642" spans="1:19" ht="13.9" x14ac:dyDescent="0.4">
      <c r="B642" s="83"/>
      <c r="D642" s="88" t="s">
        <v>1042</v>
      </c>
      <c r="F642" s="93">
        <f>SUM(F627:F641)</f>
        <v>13500</v>
      </c>
      <c r="H642" s="93">
        <f>SUM(H627:H641)</f>
        <v>11499</v>
      </c>
      <c r="J642" s="93">
        <f>SUM(J627:J641)</f>
        <v>14500</v>
      </c>
      <c r="K642" s="138"/>
      <c r="M642" s="93">
        <f>SUM(M627:M641)</f>
        <v>3625</v>
      </c>
      <c r="O642" s="93">
        <f>SUM(O627:O641)</f>
        <v>0</v>
      </c>
      <c r="Q642" s="94">
        <f>SUM(Q627:Q641)</f>
        <v>3625</v>
      </c>
      <c r="S642" s="94">
        <f>SUM(S627:S641)</f>
        <v>4270</v>
      </c>
    </row>
    <row r="643" spans="1:19" x14ac:dyDescent="0.35">
      <c r="F643" s="92"/>
      <c r="H643" s="92"/>
      <c r="J643" s="92"/>
      <c r="K643" s="92"/>
      <c r="M643" s="92"/>
      <c r="O643" s="92"/>
      <c r="Q643" s="95"/>
      <c r="S643" s="95"/>
    </row>
    <row r="644" spans="1:19" ht="13.9" x14ac:dyDescent="0.35">
      <c r="D644" s="81" t="s">
        <v>1390</v>
      </c>
      <c r="F644" s="92"/>
      <c r="H644" s="92"/>
      <c r="J644" s="92"/>
      <c r="K644" s="92"/>
      <c r="M644" s="92"/>
      <c r="O644" s="92"/>
      <c r="Q644" s="95"/>
      <c r="S644" s="95"/>
    </row>
    <row r="645" spans="1:19" ht="13.9" x14ac:dyDescent="0.35">
      <c r="D645" s="81" t="s">
        <v>1169</v>
      </c>
      <c r="F645" s="92"/>
      <c r="H645" s="92"/>
      <c r="J645" s="92"/>
      <c r="K645" s="92"/>
      <c r="M645" s="92"/>
      <c r="O645" s="92"/>
      <c r="Q645" s="95"/>
      <c r="S645" s="95"/>
    </row>
    <row r="646" spans="1:19" ht="13.9" x14ac:dyDescent="0.35">
      <c r="D646" s="82" t="s">
        <v>1170</v>
      </c>
      <c r="F646" s="92"/>
      <c r="H646" s="92"/>
      <c r="J646" s="92"/>
      <c r="K646" s="92"/>
      <c r="M646" s="92"/>
      <c r="O646" s="92"/>
      <c r="Q646" s="95"/>
      <c r="S646" s="95"/>
    </row>
    <row r="647" spans="1:19" x14ac:dyDescent="0.35">
      <c r="A647" s="83" t="s">
        <v>237</v>
      </c>
      <c r="D647" s="83" t="s">
        <v>1171</v>
      </c>
      <c r="F647" s="103">
        <v>0</v>
      </c>
      <c r="H647" s="89">
        <v>355</v>
      </c>
      <c r="J647" s="103">
        <v>0</v>
      </c>
      <c r="K647" s="103"/>
      <c r="M647" s="80">
        <f>+J647/12*3</f>
        <v>0</v>
      </c>
      <c r="O647" s="103">
        <v>30</v>
      </c>
      <c r="Q647" s="87">
        <f t="shared" ref="Q647:Q655" si="42">+M647-O647</f>
        <v>-30</v>
      </c>
      <c r="S647" s="103">
        <v>90</v>
      </c>
    </row>
    <row r="648" spans="1:19" hidden="1" x14ac:dyDescent="0.35">
      <c r="A648" s="83" t="s">
        <v>238</v>
      </c>
      <c r="D648" s="83" t="s">
        <v>239</v>
      </c>
      <c r="F648" s="89">
        <v>0</v>
      </c>
      <c r="H648" s="89">
        <v>0</v>
      </c>
      <c r="J648" s="89">
        <v>0</v>
      </c>
      <c r="K648" s="89"/>
      <c r="M648" s="89">
        <v>0</v>
      </c>
      <c r="O648" s="89">
        <v>0</v>
      </c>
      <c r="Q648" s="87">
        <f t="shared" si="42"/>
        <v>0</v>
      </c>
      <c r="S648" s="103">
        <v>0</v>
      </c>
    </row>
    <row r="649" spans="1:19" hidden="1" x14ac:dyDescent="0.35">
      <c r="A649" s="83" t="s">
        <v>240</v>
      </c>
      <c r="D649" s="83" t="s">
        <v>241</v>
      </c>
      <c r="F649" s="89">
        <v>0</v>
      </c>
      <c r="H649" s="89">
        <v>0</v>
      </c>
      <c r="J649" s="89">
        <v>0</v>
      </c>
      <c r="K649" s="89"/>
      <c r="M649" s="89">
        <v>0</v>
      </c>
      <c r="O649" s="89">
        <v>0</v>
      </c>
      <c r="Q649" s="87">
        <f t="shared" si="42"/>
        <v>0</v>
      </c>
      <c r="S649" s="103">
        <v>0</v>
      </c>
    </row>
    <row r="650" spans="1:19" hidden="1" x14ac:dyDescent="0.35">
      <c r="A650" s="83" t="s">
        <v>242</v>
      </c>
      <c r="D650" s="83" t="s">
        <v>243</v>
      </c>
      <c r="F650" s="89">
        <v>0</v>
      </c>
      <c r="H650" s="89">
        <v>0</v>
      </c>
      <c r="J650" s="89">
        <v>0</v>
      </c>
      <c r="K650" s="89"/>
      <c r="M650" s="89">
        <v>0</v>
      </c>
      <c r="O650" s="89">
        <v>0</v>
      </c>
      <c r="Q650" s="87">
        <f t="shared" si="42"/>
        <v>0</v>
      </c>
      <c r="S650" s="103">
        <v>0</v>
      </c>
    </row>
    <row r="651" spans="1:19" hidden="1" x14ac:dyDescent="0.35">
      <c r="A651" s="83" t="s">
        <v>244</v>
      </c>
      <c r="D651" s="83" t="s">
        <v>245</v>
      </c>
      <c r="F651" s="89">
        <v>0</v>
      </c>
      <c r="H651" s="89">
        <v>0</v>
      </c>
      <c r="J651" s="89">
        <v>0</v>
      </c>
      <c r="K651" s="89"/>
      <c r="M651" s="89">
        <v>0</v>
      </c>
      <c r="O651" s="89">
        <v>0</v>
      </c>
      <c r="Q651" s="87">
        <f t="shared" si="42"/>
        <v>0</v>
      </c>
      <c r="S651" s="103">
        <v>0</v>
      </c>
    </row>
    <row r="652" spans="1:19" hidden="1" x14ac:dyDescent="0.35">
      <c r="A652" s="83" t="s">
        <v>246</v>
      </c>
      <c r="D652" s="83" t="s">
        <v>247</v>
      </c>
      <c r="F652" s="89">
        <v>0</v>
      </c>
      <c r="H652" s="89">
        <v>0</v>
      </c>
      <c r="J652" s="89">
        <v>0</v>
      </c>
      <c r="K652" s="89"/>
      <c r="M652" s="89">
        <v>0</v>
      </c>
      <c r="O652" s="89">
        <v>0</v>
      </c>
      <c r="Q652" s="87">
        <f t="shared" si="42"/>
        <v>0</v>
      </c>
      <c r="S652" s="103">
        <v>0</v>
      </c>
    </row>
    <row r="653" spans="1:19" hidden="1" x14ac:dyDescent="0.35">
      <c r="A653" s="83" t="s">
        <v>248</v>
      </c>
      <c r="D653" s="83" t="s">
        <v>249</v>
      </c>
      <c r="F653" s="89">
        <v>0</v>
      </c>
      <c r="H653" s="89">
        <v>0</v>
      </c>
      <c r="J653" s="89">
        <v>0</v>
      </c>
      <c r="K653" s="89"/>
      <c r="M653" s="89">
        <v>0</v>
      </c>
      <c r="O653" s="89">
        <v>0</v>
      </c>
      <c r="Q653" s="87">
        <f t="shared" si="42"/>
        <v>0</v>
      </c>
      <c r="S653" s="103">
        <v>0</v>
      </c>
    </row>
    <row r="654" spans="1:19" hidden="1" x14ac:dyDescent="0.35">
      <c r="A654" s="83" t="s">
        <v>250</v>
      </c>
      <c r="D654" s="83" t="s">
        <v>251</v>
      </c>
      <c r="F654" s="89">
        <v>0</v>
      </c>
      <c r="H654" s="89">
        <v>0</v>
      </c>
      <c r="J654" s="89">
        <v>0</v>
      </c>
      <c r="K654" s="89"/>
      <c r="M654" s="89">
        <v>0</v>
      </c>
      <c r="O654" s="89">
        <v>0</v>
      </c>
      <c r="Q654" s="87">
        <f t="shared" si="42"/>
        <v>0</v>
      </c>
      <c r="S654" s="103">
        <v>0</v>
      </c>
    </row>
    <row r="655" spans="1:19" x14ac:dyDescent="0.35">
      <c r="A655" s="83" t="s">
        <v>252</v>
      </c>
      <c r="D655" s="83" t="s">
        <v>253</v>
      </c>
      <c r="F655" s="89">
        <v>17000</v>
      </c>
      <c r="H655" s="89">
        <v>17000</v>
      </c>
      <c r="J655" s="89">
        <v>17000</v>
      </c>
      <c r="K655" s="89"/>
      <c r="M655" s="80">
        <f>+J655/12*3</f>
        <v>4250</v>
      </c>
      <c r="O655" s="103">
        <v>4250</v>
      </c>
      <c r="Q655" s="87">
        <f t="shared" si="42"/>
        <v>0</v>
      </c>
      <c r="S655" s="103">
        <v>4250</v>
      </c>
    </row>
    <row r="656" spans="1:19" hidden="1" x14ac:dyDescent="0.35">
      <c r="A656" s="83" t="s">
        <v>254</v>
      </c>
      <c r="D656" s="83" t="s">
        <v>255</v>
      </c>
      <c r="F656" s="89">
        <v>0</v>
      </c>
      <c r="H656" s="89">
        <v>0</v>
      </c>
      <c r="J656" s="89">
        <v>0</v>
      </c>
      <c r="K656" s="89"/>
      <c r="M656" s="89">
        <v>0</v>
      </c>
      <c r="O656" s="89">
        <v>0</v>
      </c>
      <c r="Q656" s="103">
        <v>0</v>
      </c>
      <c r="S656" s="103">
        <v>0</v>
      </c>
    </row>
    <row r="657" spans="1:19" ht="13.9" x14ac:dyDescent="0.4">
      <c r="B657" s="82"/>
      <c r="D657" s="88" t="s">
        <v>1042</v>
      </c>
      <c r="F657" s="90">
        <f>SUM(F647:F656)</f>
        <v>17000</v>
      </c>
      <c r="H657" s="90">
        <f>SUM(H647:H656)</f>
        <v>17355</v>
      </c>
      <c r="J657" s="90">
        <f>SUM(J647:J656)</f>
        <v>17000</v>
      </c>
      <c r="K657" s="137"/>
      <c r="M657" s="90">
        <f>SUM(M647:M656)</f>
        <v>4250</v>
      </c>
      <c r="O657" s="90">
        <f>SUM(O647:O656)</f>
        <v>4280</v>
      </c>
      <c r="Q657" s="91">
        <f>SUM(Q647:Q656)</f>
        <v>-30</v>
      </c>
      <c r="S657" s="91">
        <f>SUM(S647:S656)</f>
        <v>4340</v>
      </c>
    </row>
    <row r="658" spans="1:19" x14ac:dyDescent="0.35">
      <c r="F658" s="92"/>
      <c r="H658" s="92"/>
      <c r="J658" s="92"/>
      <c r="K658" s="92"/>
      <c r="M658" s="92"/>
      <c r="O658" s="92"/>
      <c r="Q658" s="95"/>
      <c r="S658" s="95"/>
    </row>
    <row r="659" spans="1:19" ht="13.9" x14ac:dyDescent="0.35">
      <c r="D659" s="82" t="s">
        <v>1172</v>
      </c>
      <c r="F659" s="92"/>
      <c r="H659" s="92"/>
      <c r="J659" s="92"/>
      <c r="K659" s="92"/>
      <c r="M659" s="92"/>
      <c r="O659" s="92"/>
      <c r="Q659" s="95"/>
      <c r="S659" s="95"/>
    </row>
    <row r="660" spans="1:19" x14ac:dyDescent="0.35">
      <c r="A660" s="83" t="s">
        <v>256</v>
      </c>
      <c r="D660" s="83" t="s">
        <v>1171</v>
      </c>
      <c r="F660" s="89">
        <v>3000</v>
      </c>
      <c r="H660" s="89">
        <v>6268</v>
      </c>
      <c r="J660" s="89">
        <v>3000</v>
      </c>
      <c r="K660" s="89"/>
      <c r="M660" s="80">
        <f>+J660/12*3</f>
        <v>750</v>
      </c>
      <c r="O660" s="103">
        <v>1983</v>
      </c>
      <c r="Q660" s="87">
        <f t="shared" ref="Q660:Q668" si="43">+M660-O660</f>
        <v>-1233</v>
      </c>
      <c r="S660" s="103">
        <v>2157</v>
      </c>
    </row>
    <row r="661" spans="1:19" x14ac:dyDescent="0.35">
      <c r="A661" s="83" t="s">
        <v>257</v>
      </c>
      <c r="D661" s="83" t="s">
        <v>1070</v>
      </c>
      <c r="F661" s="89">
        <v>2755</v>
      </c>
      <c r="H661" s="89">
        <v>5011</v>
      </c>
      <c r="J661" s="89">
        <v>2755</v>
      </c>
      <c r="K661" s="89"/>
      <c r="M661" s="80">
        <f t="shared" ref="M661:M668" si="44">+J661/12*3</f>
        <v>688.75</v>
      </c>
      <c r="O661" s="103">
        <v>225</v>
      </c>
      <c r="Q661" s="87">
        <f t="shared" si="43"/>
        <v>463.75</v>
      </c>
      <c r="S661" s="103">
        <v>106</v>
      </c>
    </row>
    <row r="662" spans="1:19" x14ac:dyDescent="0.35">
      <c r="A662" s="83" t="s">
        <v>258</v>
      </c>
      <c r="D662" s="83" t="s">
        <v>1173</v>
      </c>
      <c r="F662" s="89">
        <v>3700</v>
      </c>
      <c r="H662" s="89">
        <v>3203</v>
      </c>
      <c r="J662" s="89">
        <v>3700</v>
      </c>
      <c r="K662" s="89"/>
      <c r="M662" s="80">
        <f t="shared" si="44"/>
        <v>925</v>
      </c>
      <c r="O662" s="103">
        <v>118</v>
      </c>
      <c r="Q662" s="87">
        <f t="shared" si="43"/>
        <v>807</v>
      </c>
      <c r="S662" s="103">
        <v>1349</v>
      </c>
    </row>
    <row r="663" spans="1:19" x14ac:dyDescent="0.35">
      <c r="A663" s="83" t="s">
        <v>259</v>
      </c>
      <c r="D663" s="83" t="s">
        <v>1174</v>
      </c>
      <c r="F663" s="89">
        <v>350</v>
      </c>
      <c r="H663" s="89">
        <v>196</v>
      </c>
      <c r="J663" s="89">
        <v>350</v>
      </c>
      <c r="K663" s="89"/>
      <c r="M663" s="80">
        <f t="shared" si="44"/>
        <v>87.5</v>
      </c>
      <c r="O663" s="103">
        <v>55</v>
      </c>
      <c r="Q663" s="87">
        <f t="shared" si="43"/>
        <v>32.5</v>
      </c>
      <c r="S663" s="103">
        <v>47</v>
      </c>
    </row>
    <row r="664" spans="1:19" x14ac:dyDescent="0.35">
      <c r="A664" s="83"/>
      <c r="D664" s="83" t="s">
        <v>260</v>
      </c>
      <c r="F664" s="103">
        <v>0</v>
      </c>
      <c r="H664" s="89">
        <v>3374</v>
      </c>
      <c r="J664" s="103">
        <v>0</v>
      </c>
      <c r="K664" s="103"/>
      <c r="M664" s="80">
        <f t="shared" si="44"/>
        <v>0</v>
      </c>
      <c r="O664" s="103">
        <v>1800</v>
      </c>
      <c r="Q664" s="87">
        <f t="shared" si="43"/>
        <v>-1800</v>
      </c>
      <c r="S664" s="103">
        <v>0</v>
      </c>
    </row>
    <row r="665" spans="1:19" x14ac:dyDescent="0.35">
      <c r="A665" s="83" t="s">
        <v>261</v>
      </c>
      <c r="D665" s="83" t="s">
        <v>1175</v>
      </c>
      <c r="F665" s="89">
        <v>2200</v>
      </c>
      <c r="H665" s="89">
        <v>2200</v>
      </c>
      <c r="J665" s="89">
        <v>2200</v>
      </c>
      <c r="K665" s="89"/>
      <c r="M665" s="80">
        <f t="shared" si="44"/>
        <v>550</v>
      </c>
      <c r="O665" s="103">
        <v>0</v>
      </c>
      <c r="Q665" s="87">
        <f t="shared" si="43"/>
        <v>550</v>
      </c>
      <c r="S665" s="103">
        <v>0</v>
      </c>
    </row>
    <row r="666" spans="1:19" x14ac:dyDescent="0.35">
      <c r="A666" s="83" t="s">
        <v>262</v>
      </c>
      <c r="D666" s="83" t="s">
        <v>1176</v>
      </c>
      <c r="F666" s="103">
        <v>0</v>
      </c>
      <c r="H666" s="103">
        <v>0</v>
      </c>
      <c r="J666" s="103">
        <v>0</v>
      </c>
      <c r="K666" s="103"/>
      <c r="M666" s="80">
        <f t="shared" si="44"/>
        <v>0</v>
      </c>
      <c r="O666" s="103">
        <v>0</v>
      </c>
      <c r="Q666" s="87">
        <f t="shared" si="43"/>
        <v>0</v>
      </c>
      <c r="S666" s="103">
        <v>0</v>
      </c>
    </row>
    <row r="667" spans="1:19" x14ac:dyDescent="0.35">
      <c r="A667" s="83" t="s">
        <v>263</v>
      </c>
      <c r="D667" s="83" t="s">
        <v>2796</v>
      </c>
      <c r="F667" s="103">
        <v>0</v>
      </c>
      <c r="H667" s="103">
        <v>0</v>
      </c>
      <c r="J667" s="103">
        <v>0</v>
      </c>
      <c r="K667" s="103"/>
      <c r="M667" s="80">
        <f t="shared" si="44"/>
        <v>0</v>
      </c>
      <c r="O667" s="103">
        <v>0</v>
      </c>
      <c r="Q667" s="87">
        <f t="shared" si="43"/>
        <v>0</v>
      </c>
      <c r="S667" s="103">
        <v>0</v>
      </c>
    </row>
    <row r="668" spans="1:19" x14ac:dyDescent="0.35">
      <c r="A668" s="83" t="s">
        <v>264</v>
      </c>
      <c r="D668" s="83" t="s">
        <v>255</v>
      </c>
      <c r="F668" s="89">
        <v>500</v>
      </c>
      <c r="H668" s="103">
        <v>0</v>
      </c>
      <c r="J668" s="89">
        <v>500</v>
      </c>
      <c r="K668" s="89"/>
      <c r="M668" s="80">
        <f t="shared" si="44"/>
        <v>125</v>
      </c>
      <c r="O668" s="103">
        <v>0</v>
      </c>
      <c r="Q668" s="87">
        <f t="shared" si="43"/>
        <v>125</v>
      </c>
      <c r="S668" s="103">
        <v>0</v>
      </c>
    </row>
    <row r="669" spans="1:19" ht="13.9" x14ac:dyDescent="0.4">
      <c r="B669" s="82"/>
      <c r="D669" s="88" t="s">
        <v>1042</v>
      </c>
      <c r="F669" s="90">
        <f>SUM(F660:F668)</f>
        <v>12505</v>
      </c>
      <c r="H669" s="90">
        <f>SUM(H660:H668)</f>
        <v>20252</v>
      </c>
      <c r="J669" s="90">
        <f>SUM(J660:J668)</f>
        <v>12505</v>
      </c>
      <c r="K669" s="137"/>
      <c r="M669" s="90">
        <f>SUM(M660:M668)</f>
        <v>3126.25</v>
      </c>
      <c r="O669" s="90">
        <f>SUM(O660:O668)</f>
        <v>4181</v>
      </c>
      <c r="Q669" s="91">
        <f>SUM(Q660:Q668)</f>
        <v>-1054.75</v>
      </c>
      <c r="S669" s="91">
        <f>SUM(S660:S668)</f>
        <v>3659</v>
      </c>
    </row>
    <row r="670" spans="1:19" x14ac:dyDescent="0.35">
      <c r="F670" s="92"/>
      <c r="H670" s="92"/>
      <c r="J670" s="92"/>
      <c r="K670" s="92"/>
      <c r="M670" s="92"/>
      <c r="O670" s="92"/>
      <c r="Q670" s="95"/>
      <c r="S670" s="95"/>
    </row>
    <row r="671" spans="1:19" ht="13.9" x14ac:dyDescent="0.35">
      <c r="D671" s="82" t="s">
        <v>1177</v>
      </c>
      <c r="F671" s="92"/>
      <c r="H671" s="92"/>
      <c r="J671" s="92"/>
      <c r="K671" s="92"/>
      <c r="M671" s="92"/>
      <c r="O671" s="92"/>
      <c r="Q671" s="95"/>
      <c r="S671" s="95"/>
    </row>
    <row r="672" spans="1:19" x14ac:dyDescent="0.35">
      <c r="A672" s="83" t="s">
        <v>265</v>
      </c>
      <c r="D672" s="83" t="s">
        <v>1171</v>
      </c>
      <c r="F672" s="89">
        <v>3800</v>
      </c>
      <c r="H672" s="89">
        <v>8519</v>
      </c>
      <c r="J672" s="89">
        <v>3800</v>
      </c>
      <c r="K672" s="89"/>
      <c r="M672" s="80">
        <f>+J672/12*3</f>
        <v>950</v>
      </c>
      <c r="O672" s="103">
        <v>1903</v>
      </c>
      <c r="Q672" s="87">
        <f t="shared" ref="Q672:Q679" si="45">+M672-O672</f>
        <v>-953</v>
      </c>
      <c r="S672" s="103">
        <v>1752</v>
      </c>
    </row>
    <row r="673" spans="1:19" x14ac:dyDescent="0.35">
      <c r="A673" s="83" t="s">
        <v>266</v>
      </c>
      <c r="D673" s="83" t="s">
        <v>1070</v>
      </c>
      <c r="F673" s="89">
        <v>2000</v>
      </c>
      <c r="H673" s="89">
        <v>4760</v>
      </c>
      <c r="J673" s="89">
        <v>2000</v>
      </c>
      <c r="K673" s="89"/>
      <c r="M673" s="80">
        <f t="shared" ref="M673:M679" si="46">+J673/12*3</f>
        <v>500</v>
      </c>
      <c r="O673" s="103">
        <v>0</v>
      </c>
      <c r="Q673" s="87">
        <f t="shared" si="45"/>
        <v>500</v>
      </c>
      <c r="S673" s="103">
        <v>672</v>
      </c>
    </row>
    <row r="674" spans="1:19" x14ac:dyDescent="0.35">
      <c r="A674" s="83" t="s">
        <v>267</v>
      </c>
      <c r="D674" s="83" t="s">
        <v>1173</v>
      </c>
      <c r="F674" s="89">
        <v>1500</v>
      </c>
      <c r="H674" s="89">
        <v>2760</v>
      </c>
      <c r="J674" s="89">
        <v>1500</v>
      </c>
      <c r="K674" s="89"/>
      <c r="M674" s="80">
        <f t="shared" si="46"/>
        <v>375</v>
      </c>
      <c r="O674" s="103">
        <v>325</v>
      </c>
      <c r="Q674" s="87">
        <f t="shared" si="45"/>
        <v>50</v>
      </c>
      <c r="S674" s="103">
        <v>207</v>
      </c>
    </row>
    <row r="675" spans="1:19" x14ac:dyDescent="0.35">
      <c r="A675" s="83" t="s">
        <v>268</v>
      </c>
      <c r="D675" s="83" t="s">
        <v>1174</v>
      </c>
      <c r="F675" s="89">
        <v>50</v>
      </c>
      <c r="H675" s="89">
        <v>11</v>
      </c>
      <c r="J675" s="89">
        <v>50</v>
      </c>
      <c r="K675" s="89"/>
      <c r="M675" s="80">
        <f t="shared" si="46"/>
        <v>12.5</v>
      </c>
      <c r="O675" s="103">
        <v>0</v>
      </c>
      <c r="Q675" s="87">
        <f t="shared" si="45"/>
        <v>12.5</v>
      </c>
      <c r="S675" s="103">
        <v>0</v>
      </c>
    </row>
    <row r="676" spans="1:19" x14ac:dyDescent="0.35">
      <c r="A676" s="83"/>
      <c r="D676" s="83" t="s">
        <v>260</v>
      </c>
      <c r="F676" s="103">
        <v>0</v>
      </c>
      <c r="H676" s="89">
        <v>4882</v>
      </c>
      <c r="J676" s="103">
        <v>0</v>
      </c>
      <c r="K676" s="103"/>
      <c r="M676" s="80">
        <f t="shared" si="46"/>
        <v>0</v>
      </c>
      <c r="O676" s="103">
        <v>1372</v>
      </c>
      <c r="Q676" s="87">
        <f t="shared" si="45"/>
        <v>-1372</v>
      </c>
      <c r="S676" s="103">
        <v>500</v>
      </c>
    </row>
    <row r="677" spans="1:19" x14ac:dyDescent="0.35">
      <c r="A677" s="83" t="s">
        <v>269</v>
      </c>
      <c r="D677" s="83" t="s">
        <v>1175</v>
      </c>
      <c r="F677" s="89">
        <v>2100</v>
      </c>
      <c r="H677" s="89">
        <v>2100</v>
      </c>
      <c r="J677" s="89">
        <v>2100</v>
      </c>
      <c r="K677" s="89"/>
      <c r="M677" s="80">
        <f t="shared" si="46"/>
        <v>525</v>
      </c>
      <c r="O677" s="103">
        <v>0</v>
      </c>
      <c r="Q677" s="87">
        <f t="shared" si="45"/>
        <v>525</v>
      </c>
      <c r="S677" s="103">
        <v>0</v>
      </c>
    </row>
    <row r="678" spans="1:19" x14ac:dyDescent="0.35">
      <c r="A678" s="83" t="s">
        <v>270</v>
      </c>
      <c r="D678" s="83" t="s">
        <v>1176</v>
      </c>
      <c r="F678" s="89">
        <v>5500</v>
      </c>
      <c r="H678" s="89">
        <v>8866</v>
      </c>
      <c r="J678" s="89">
        <v>5500</v>
      </c>
      <c r="K678" s="89"/>
      <c r="M678" s="80">
        <f t="shared" si="46"/>
        <v>1375</v>
      </c>
      <c r="O678" s="103">
        <v>860</v>
      </c>
      <c r="Q678" s="87">
        <f t="shared" si="45"/>
        <v>515</v>
      </c>
      <c r="S678" s="103">
        <v>0</v>
      </c>
    </row>
    <row r="679" spans="1:19" x14ac:dyDescent="0.35">
      <c r="A679" s="83" t="s">
        <v>271</v>
      </c>
      <c r="D679" s="83" t="s">
        <v>255</v>
      </c>
      <c r="F679" s="89">
        <v>500</v>
      </c>
      <c r="H679" s="103">
        <v>0</v>
      </c>
      <c r="J679" s="89">
        <v>500</v>
      </c>
      <c r="K679" s="89"/>
      <c r="M679" s="80">
        <f t="shared" si="46"/>
        <v>125</v>
      </c>
      <c r="O679" s="103">
        <v>0</v>
      </c>
      <c r="Q679" s="87">
        <f t="shared" si="45"/>
        <v>125</v>
      </c>
      <c r="S679" s="103">
        <v>0</v>
      </c>
    </row>
    <row r="680" spans="1:19" ht="13.9" x14ac:dyDescent="0.4">
      <c r="B680" s="82"/>
      <c r="D680" s="88" t="s">
        <v>1042</v>
      </c>
      <c r="F680" s="90">
        <f>SUM(F672:F679)</f>
        <v>15450</v>
      </c>
      <c r="H680" s="90">
        <f>SUM(H672:H679)</f>
        <v>31898</v>
      </c>
      <c r="J680" s="90">
        <f>SUM(J672:J679)</f>
        <v>15450</v>
      </c>
      <c r="K680" s="137"/>
      <c r="M680" s="90">
        <f>SUM(M672:M679)</f>
        <v>3862.5</v>
      </c>
      <c r="O680" s="90">
        <f>SUM(O672:O679)</f>
        <v>4460</v>
      </c>
      <c r="Q680" s="91">
        <f>SUM(Q672:Q679)</f>
        <v>-597.5</v>
      </c>
      <c r="S680" s="91">
        <f>SUM(S672:S679)</f>
        <v>3131</v>
      </c>
    </row>
    <row r="681" spans="1:19" x14ac:dyDescent="0.35">
      <c r="F681" s="92"/>
      <c r="H681" s="92"/>
      <c r="J681" s="92"/>
      <c r="K681" s="92"/>
      <c r="M681" s="92"/>
      <c r="O681" s="92"/>
      <c r="Q681" s="95"/>
      <c r="S681" s="95"/>
    </row>
    <row r="682" spans="1:19" ht="13.9" x14ac:dyDescent="0.35">
      <c r="D682" s="82" t="s">
        <v>1178</v>
      </c>
      <c r="F682" s="92"/>
      <c r="H682" s="92"/>
      <c r="J682" s="92"/>
      <c r="K682" s="92"/>
      <c r="M682" s="92"/>
      <c r="O682" s="92"/>
      <c r="Q682" s="95"/>
      <c r="S682" s="95"/>
    </row>
    <row r="683" spans="1:19" x14ac:dyDescent="0.35">
      <c r="A683" s="83" t="s">
        <v>272</v>
      </c>
      <c r="D683" s="83" t="s">
        <v>1171</v>
      </c>
      <c r="F683" s="89">
        <v>3570</v>
      </c>
      <c r="H683" s="89">
        <v>4864</v>
      </c>
      <c r="J683" s="89">
        <v>3570</v>
      </c>
      <c r="K683" s="89"/>
      <c r="M683" s="80">
        <f>+J683/12*3</f>
        <v>892.5</v>
      </c>
      <c r="O683" s="103">
        <v>2144</v>
      </c>
      <c r="Q683" s="87">
        <f t="shared" ref="Q683:Q690" si="47">+M683-O683</f>
        <v>-1251.5</v>
      </c>
      <c r="S683" s="103">
        <v>1558</v>
      </c>
    </row>
    <row r="684" spans="1:19" x14ac:dyDescent="0.35">
      <c r="A684" s="83" t="s">
        <v>273</v>
      </c>
      <c r="D684" s="83" t="s">
        <v>1070</v>
      </c>
      <c r="F684" s="89">
        <v>2000</v>
      </c>
      <c r="H684" s="89">
        <v>475</v>
      </c>
      <c r="J684" s="89">
        <v>2000</v>
      </c>
      <c r="K684" s="89"/>
      <c r="M684" s="80">
        <f t="shared" ref="M684:M690" si="48">+J684/12*3</f>
        <v>500</v>
      </c>
      <c r="O684" s="103">
        <v>449</v>
      </c>
      <c r="Q684" s="87">
        <f t="shared" si="47"/>
        <v>51</v>
      </c>
      <c r="S684" s="103">
        <v>0</v>
      </c>
    </row>
    <row r="685" spans="1:19" x14ac:dyDescent="0.35">
      <c r="A685" s="83" t="s">
        <v>274</v>
      </c>
      <c r="D685" s="83" t="s">
        <v>1173</v>
      </c>
      <c r="F685" s="89">
        <v>1800</v>
      </c>
      <c r="H685" s="89">
        <v>2080</v>
      </c>
      <c r="J685" s="89">
        <v>1800</v>
      </c>
      <c r="K685" s="89"/>
      <c r="M685" s="80">
        <f t="shared" si="48"/>
        <v>450</v>
      </c>
      <c r="O685" s="103">
        <v>200</v>
      </c>
      <c r="Q685" s="87">
        <f t="shared" si="47"/>
        <v>250</v>
      </c>
      <c r="S685" s="103">
        <v>40</v>
      </c>
    </row>
    <row r="686" spans="1:19" x14ac:dyDescent="0.35">
      <c r="A686" s="83" t="s">
        <v>275</v>
      </c>
      <c r="D686" s="83" t="s">
        <v>1174</v>
      </c>
      <c r="F686" s="89">
        <v>50</v>
      </c>
      <c r="H686" s="103">
        <v>0</v>
      </c>
      <c r="J686" s="89">
        <v>50</v>
      </c>
      <c r="K686" s="89"/>
      <c r="M686" s="80">
        <f t="shared" si="48"/>
        <v>12.5</v>
      </c>
      <c r="O686" s="103">
        <v>0</v>
      </c>
      <c r="Q686" s="87">
        <f t="shared" si="47"/>
        <v>12.5</v>
      </c>
      <c r="S686" s="103">
        <v>0</v>
      </c>
    </row>
    <row r="687" spans="1:19" x14ac:dyDescent="0.35">
      <c r="A687" s="83"/>
      <c r="D687" s="83" t="s">
        <v>260</v>
      </c>
      <c r="F687" s="103">
        <v>0</v>
      </c>
      <c r="H687" s="89">
        <v>3000</v>
      </c>
      <c r="J687" s="103">
        <v>0</v>
      </c>
      <c r="K687" s="103"/>
      <c r="M687" s="80">
        <f t="shared" si="48"/>
        <v>0</v>
      </c>
      <c r="O687" s="103">
        <v>1800</v>
      </c>
      <c r="Q687" s="87">
        <f t="shared" si="47"/>
        <v>-1800</v>
      </c>
      <c r="S687" s="103">
        <v>0</v>
      </c>
    </row>
    <row r="688" spans="1:19" x14ac:dyDescent="0.35">
      <c r="A688" s="83" t="s">
        <v>276</v>
      </c>
      <c r="D688" s="83" t="s">
        <v>1175</v>
      </c>
      <c r="F688" s="89">
        <v>2000</v>
      </c>
      <c r="H688" s="89">
        <v>2000</v>
      </c>
      <c r="J688" s="89">
        <v>2000</v>
      </c>
      <c r="K688" s="89"/>
      <c r="M688" s="80">
        <f t="shared" si="48"/>
        <v>500</v>
      </c>
      <c r="O688" s="103">
        <v>0</v>
      </c>
      <c r="Q688" s="87">
        <f t="shared" si="47"/>
        <v>500</v>
      </c>
      <c r="S688" s="103">
        <v>0</v>
      </c>
    </row>
    <row r="689" spans="1:19" x14ac:dyDescent="0.35">
      <c r="A689" s="83" t="s">
        <v>277</v>
      </c>
      <c r="D689" s="83" t="s">
        <v>1176</v>
      </c>
      <c r="F689" s="89">
        <v>3500</v>
      </c>
      <c r="H689" s="89">
        <v>3529</v>
      </c>
      <c r="J689" s="89">
        <v>3500</v>
      </c>
      <c r="K689" s="89"/>
      <c r="M689" s="80">
        <f t="shared" si="48"/>
        <v>875</v>
      </c>
      <c r="O689" s="103">
        <v>0</v>
      </c>
      <c r="Q689" s="87">
        <f t="shared" si="47"/>
        <v>875</v>
      </c>
      <c r="S689" s="103">
        <v>0</v>
      </c>
    </row>
    <row r="690" spans="1:19" x14ac:dyDescent="0.35">
      <c r="A690" s="83" t="s">
        <v>278</v>
      </c>
      <c r="D690" s="83" t="s">
        <v>255</v>
      </c>
      <c r="F690" s="89">
        <v>500</v>
      </c>
      <c r="H690" s="103">
        <v>0</v>
      </c>
      <c r="J690" s="89">
        <v>500</v>
      </c>
      <c r="K690" s="89"/>
      <c r="M690" s="80">
        <f t="shared" si="48"/>
        <v>125</v>
      </c>
      <c r="O690" s="103">
        <v>0</v>
      </c>
      <c r="Q690" s="87">
        <f t="shared" si="47"/>
        <v>125</v>
      </c>
      <c r="S690" s="103">
        <v>0</v>
      </c>
    </row>
    <row r="691" spans="1:19" ht="13.9" x14ac:dyDescent="0.4">
      <c r="B691" s="83"/>
      <c r="D691" s="88" t="s">
        <v>1042</v>
      </c>
      <c r="F691" s="93">
        <f>SUM(F683:F690)</f>
        <v>13420</v>
      </c>
      <c r="H691" s="93">
        <f>SUM(H683:H690)</f>
        <v>15948</v>
      </c>
      <c r="J691" s="93">
        <f>SUM(J683:J690)</f>
        <v>13420</v>
      </c>
      <c r="K691" s="138"/>
      <c r="M691" s="93">
        <f>SUM(M683:M690)</f>
        <v>3355</v>
      </c>
      <c r="O691" s="93">
        <f>SUM(O683:O690)</f>
        <v>4593</v>
      </c>
      <c r="Q691" s="94">
        <f>SUM(Q683:Q690)</f>
        <v>-1238</v>
      </c>
      <c r="S691" s="94">
        <f>SUM(S683:S690)</f>
        <v>1598</v>
      </c>
    </row>
    <row r="692" spans="1:19" x14ac:dyDescent="0.35">
      <c r="F692" s="92"/>
      <c r="H692" s="92"/>
      <c r="J692" s="92"/>
      <c r="K692" s="92"/>
      <c r="M692" s="92"/>
      <c r="O692" s="92"/>
      <c r="Q692" s="95"/>
      <c r="S692" s="95"/>
    </row>
    <row r="693" spans="1:19" ht="13.9" x14ac:dyDescent="0.35">
      <c r="D693" s="82" t="s">
        <v>1179</v>
      </c>
      <c r="F693" s="92"/>
      <c r="H693" s="92"/>
      <c r="J693" s="92"/>
      <c r="K693" s="92"/>
      <c r="M693" s="92"/>
      <c r="O693" s="92"/>
      <c r="Q693" s="95"/>
      <c r="S693" s="95"/>
    </row>
    <row r="694" spans="1:19" x14ac:dyDescent="0.35">
      <c r="A694" s="83" t="s">
        <v>279</v>
      </c>
      <c r="D694" s="83" t="s">
        <v>1171</v>
      </c>
      <c r="F694" s="89">
        <v>4000</v>
      </c>
      <c r="H694" s="89">
        <v>6312</v>
      </c>
      <c r="J694" s="89">
        <v>4000</v>
      </c>
      <c r="K694" s="89"/>
      <c r="M694" s="80">
        <f>+J694/12*3</f>
        <v>1000</v>
      </c>
      <c r="O694" s="103">
        <v>1445</v>
      </c>
      <c r="Q694" s="87">
        <f t="shared" ref="Q694:Q701" si="49">+M694-O694</f>
        <v>-445</v>
      </c>
      <c r="S694" s="103">
        <v>1393</v>
      </c>
    </row>
    <row r="695" spans="1:19" x14ac:dyDescent="0.35">
      <c r="A695" s="83" t="s">
        <v>280</v>
      </c>
      <c r="D695" s="83" t="s">
        <v>1070</v>
      </c>
      <c r="F695" s="89">
        <v>2000</v>
      </c>
      <c r="H695" s="89">
        <v>1189</v>
      </c>
      <c r="J695" s="89">
        <v>2000</v>
      </c>
      <c r="K695" s="89"/>
      <c r="M695" s="80">
        <f t="shared" ref="M695:M701" si="50">+J695/12*3</f>
        <v>500</v>
      </c>
      <c r="O695" s="103">
        <v>0</v>
      </c>
      <c r="Q695" s="87">
        <f t="shared" si="49"/>
        <v>500</v>
      </c>
      <c r="S695" s="103">
        <v>170</v>
      </c>
    </row>
    <row r="696" spans="1:19" x14ac:dyDescent="0.35">
      <c r="A696" s="83" t="s">
        <v>281</v>
      </c>
      <c r="D696" s="83" t="s">
        <v>1173</v>
      </c>
      <c r="F696" s="89">
        <v>1500</v>
      </c>
      <c r="H696" s="103">
        <v>0</v>
      </c>
      <c r="J696" s="89">
        <v>1500</v>
      </c>
      <c r="K696" s="89"/>
      <c r="M696" s="80">
        <f t="shared" si="50"/>
        <v>375</v>
      </c>
      <c r="O696" s="103">
        <v>0</v>
      </c>
      <c r="Q696" s="87">
        <f t="shared" si="49"/>
        <v>375</v>
      </c>
      <c r="S696" s="103">
        <v>0</v>
      </c>
    </row>
    <row r="697" spans="1:19" x14ac:dyDescent="0.35">
      <c r="A697" s="83" t="s">
        <v>282</v>
      </c>
      <c r="D697" s="83" t="s">
        <v>1174</v>
      </c>
      <c r="F697" s="89">
        <v>300</v>
      </c>
      <c r="H697" s="89">
        <v>349</v>
      </c>
      <c r="J697" s="89">
        <v>300</v>
      </c>
      <c r="K697" s="89"/>
      <c r="M697" s="80">
        <f t="shared" si="50"/>
        <v>75</v>
      </c>
      <c r="O697" s="103">
        <v>110</v>
      </c>
      <c r="Q697" s="87">
        <f t="shared" si="49"/>
        <v>-35</v>
      </c>
      <c r="S697" s="103">
        <v>0</v>
      </c>
    </row>
    <row r="698" spans="1:19" x14ac:dyDescent="0.35">
      <c r="A698" s="83"/>
      <c r="D698" s="83" t="s">
        <v>260</v>
      </c>
      <c r="F698" s="89">
        <v>9600</v>
      </c>
      <c r="H698" s="89">
        <v>9600</v>
      </c>
      <c r="J698" s="89">
        <v>9600</v>
      </c>
      <c r="K698" s="89"/>
      <c r="M698" s="80">
        <f t="shared" si="50"/>
        <v>2400</v>
      </c>
      <c r="O698" s="103">
        <v>2400</v>
      </c>
      <c r="Q698" s="87">
        <f t="shared" si="49"/>
        <v>0</v>
      </c>
      <c r="S698" s="103">
        <v>2400</v>
      </c>
    </row>
    <row r="699" spans="1:19" x14ac:dyDescent="0.35">
      <c r="A699" s="83" t="s">
        <v>283</v>
      </c>
      <c r="D699" s="83" t="s">
        <v>2163</v>
      </c>
      <c r="F699" s="89">
        <v>3000</v>
      </c>
      <c r="H699" s="89">
        <v>3000</v>
      </c>
      <c r="J699" s="89">
        <v>3000</v>
      </c>
      <c r="K699" s="89"/>
      <c r="M699" s="80">
        <f t="shared" si="50"/>
        <v>750</v>
      </c>
      <c r="O699" s="103">
        <v>0</v>
      </c>
      <c r="Q699" s="87">
        <f t="shared" si="49"/>
        <v>750</v>
      </c>
      <c r="S699" s="103">
        <v>0</v>
      </c>
    </row>
    <row r="700" spans="1:19" x14ac:dyDescent="0.35">
      <c r="A700" s="83" t="s">
        <v>285</v>
      </c>
      <c r="D700" s="83" t="s">
        <v>1176</v>
      </c>
      <c r="F700" s="89">
        <v>3500</v>
      </c>
      <c r="H700" s="89">
        <v>6009</v>
      </c>
      <c r="J700" s="89">
        <v>3500</v>
      </c>
      <c r="K700" s="89"/>
      <c r="M700" s="80">
        <f t="shared" si="50"/>
        <v>875</v>
      </c>
      <c r="O700" s="103">
        <v>0</v>
      </c>
      <c r="Q700" s="87">
        <f t="shared" si="49"/>
        <v>875</v>
      </c>
      <c r="S700" s="103">
        <v>0</v>
      </c>
    </row>
    <row r="701" spans="1:19" x14ac:dyDescent="0.35">
      <c r="A701" s="83" t="s">
        <v>286</v>
      </c>
      <c r="D701" s="83" t="s">
        <v>255</v>
      </c>
      <c r="F701" s="89">
        <v>500</v>
      </c>
      <c r="H701" s="103">
        <v>0</v>
      </c>
      <c r="J701" s="89">
        <v>500</v>
      </c>
      <c r="K701" s="89"/>
      <c r="M701" s="80">
        <f t="shared" si="50"/>
        <v>125</v>
      </c>
      <c r="O701" s="103">
        <v>0</v>
      </c>
      <c r="Q701" s="87">
        <f t="shared" si="49"/>
        <v>125</v>
      </c>
      <c r="S701" s="103">
        <v>0</v>
      </c>
    </row>
    <row r="702" spans="1:19" ht="13.9" x14ac:dyDescent="0.4">
      <c r="B702" s="82"/>
      <c r="D702" s="88" t="s">
        <v>1042</v>
      </c>
      <c r="F702" s="90">
        <f>SUM(F694:F701)</f>
        <v>24400</v>
      </c>
      <c r="H702" s="90">
        <f>SUM(H694:H701)</f>
        <v>26459</v>
      </c>
      <c r="J702" s="90">
        <f>SUM(J694:J701)</f>
        <v>24400</v>
      </c>
      <c r="K702" s="137"/>
      <c r="M702" s="90">
        <f>SUM(M694:M701)</f>
        <v>6100</v>
      </c>
      <c r="O702" s="90">
        <f>SUM(O694:O701)</f>
        <v>3955</v>
      </c>
      <c r="Q702" s="91">
        <f>SUM(Q694:Q701)</f>
        <v>2145</v>
      </c>
      <c r="S702" s="91">
        <f>SUM(S694:S701)</f>
        <v>3963</v>
      </c>
    </row>
    <row r="703" spans="1:19" x14ac:dyDescent="0.35">
      <c r="F703" s="92"/>
      <c r="H703" s="92"/>
      <c r="J703" s="92"/>
      <c r="K703" s="92"/>
      <c r="M703" s="92"/>
      <c r="O703" s="92"/>
      <c r="Q703" s="95"/>
      <c r="S703" s="95"/>
    </row>
    <row r="704" spans="1:19" ht="13.9" x14ac:dyDescent="0.35">
      <c r="D704" s="82" t="s">
        <v>1180</v>
      </c>
      <c r="F704" s="92"/>
      <c r="H704" s="92"/>
      <c r="J704" s="92"/>
      <c r="K704" s="92"/>
      <c r="M704" s="92"/>
      <c r="O704" s="92"/>
      <c r="Q704" s="95"/>
      <c r="S704" s="95"/>
    </row>
    <row r="705" spans="1:19" x14ac:dyDescent="0.35">
      <c r="A705" s="83" t="s">
        <v>287</v>
      </c>
      <c r="D705" s="83" t="s">
        <v>162</v>
      </c>
      <c r="F705" s="103">
        <v>0</v>
      </c>
      <c r="H705" s="89">
        <v>601</v>
      </c>
      <c r="J705" s="103">
        <v>0</v>
      </c>
      <c r="K705" s="103"/>
      <c r="M705" s="80">
        <f>+J705/12*3</f>
        <v>0</v>
      </c>
      <c r="O705" s="103">
        <v>54</v>
      </c>
      <c r="Q705" s="87">
        <f t="shared" ref="Q705:Q712" si="51">+M705-O705</f>
        <v>-54</v>
      </c>
      <c r="S705" s="103">
        <v>56</v>
      </c>
    </row>
    <row r="706" spans="1:19" hidden="1" x14ac:dyDescent="0.35">
      <c r="A706" s="83" t="s">
        <v>288</v>
      </c>
      <c r="D706" s="83" t="s">
        <v>289</v>
      </c>
      <c r="F706" s="89">
        <v>0</v>
      </c>
      <c r="H706" s="89">
        <v>0</v>
      </c>
      <c r="J706" s="89">
        <v>0</v>
      </c>
      <c r="K706" s="89"/>
      <c r="M706" s="80">
        <f t="shared" ref="M706:M711" si="52">+J706/12*2</f>
        <v>0</v>
      </c>
      <c r="O706" s="103">
        <v>0</v>
      </c>
      <c r="Q706" s="87">
        <f t="shared" si="51"/>
        <v>0</v>
      </c>
      <c r="S706" s="103">
        <v>0</v>
      </c>
    </row>
    <row r="707" spans="1:19" hidden="1" x14ac:dyDescent="0.35">
      <c r="A707" s="83" t="s">
        <v>290</v>
      </c>
      <c r="D707" s="83" t="s">
        <v>291</v>
      </c>
      <c r="F707" s="89">
        <v>0</v>
      </c>
      <c r="H707" s="89">
        <v>0</v>
      </c>
      <c r="J707" s="89">
        <v>0</v>
      </c>
      <c r="K707" s="89"/>
      <c r="M707" s="80">
        <f t="shared" si="52"/>
        <v>0</v>
      </c>
      <c r="O707" s="103">
        <v>0</v>
      </c>
      <c r="Q707" s="87">
        <f t="shared" si="51"/>
        <v>0</v>
      </c>
      <c r="S707" s="103">
        <v>0</v>
      </c>
    </row>
    <row r="708" spans="1:19" hidden="1" x14ac:dyDescent="0.35">
      <c r="A708" s="83" t="s">
        <v>292</v>
      </c>
      <c r="D708" s="83" t="s">
        <v>293</v>
      </c>
      <c r="F708" s="89">
        <v>0</v>
      </c>
      <c r="H708" s="89">
        <v>0</v>
      </c>
      <c r="J708" s="89">
        <v>0</v>
      </c>
      <c r="K708" s="89"/>
      <c r="M708" s="80">
        <f t="shared" si="52"/>
        <v>0</v>
      </c>
      <c r="O708" s="103">
        <v>0</v>
      </c>
      <c r="Q708" s="87">
        <f t="shared" si="51"/>
        <v>0</v>
      </c>
      <c r="S708" s="103">
        <v>0</v>
      </c>
    </row>
    <row r="709" spans="1:19" x14ac:dyDescent="0.35">
      <c r="A709" s="83" t="s">
        <v>294</v>
      </c>
      <c r="D709" s="83" t="s">
        <v>295</v>
      </c>
      <c r="F709" s="89">
        <v>9600</v>
      </c>
      <c r="H709" s="89">
        <v>9600</v>
      </c>
      <c r="J709" s="89">
        <v>9600</v>
      </c>
      <c r="K709" s="89"/>
      <c r="M709" s="80">
        <f>+J709/12*3</f>
        <v>2400</v>
      </c>
      <c r="O709" s="103">
        <v>2400</v>
      </c>
      <c r="Q709" s="87">
        <f t="shared" si="51"/>
        <v>0</v>
      </c>
      <c r="S709" s="103">
        <v>2400</v>
      </c>
    </row>
    <row r="710" spans="1:19" hidden="1" x14ac:dyDescent="0.35">
      <c r="A710" s="83" t="s">
        <v>296</v>
      </c>
      <c r="D710" s="83" t="s">
        <v>284</v>
      </c>
      <c r="F710" s="89">
        <v>0</v>
      </c>
      <c r="H710" s="89">
        <v>0</v>
      </c>
      <c r="J710" s="89">
        <v>0</v>
      </c>
      <c r="K710" s="89"/>
      <c r="M710" s="80">
        <f t="shared" si="52"/>
        <v>0</v>
      </c>
      <c r="O710" s="103">
        <v>0</v>
      </c>
      <c r="Q710" s="87">
        <f t="shared" si="51"/>
        <v>0</v>
      </c>
      <c r="S710" s="103">
        <v>0</v>
      </c>
    </row>
    <row r="711" spans="1:19" hidden="1" x14ac:dyDescent="0.35">
      <c r="A711" s="83" t="s">
        <v>297</v>
      </c>
      <c r="D711" s="83" t="s">
        <v>298</v>
      </c>
      <c r="F711" s="89">
        <v>0</v>
      </c>
      <c r="H711" s="89">
        <v>0</v>
      </c>
      <c r="J711" s="89">
        <v>0</v>
      </c>
      <c r="K711" s="89"/>
      <c r="M711" s="80">
        <f t="shared" si="52"/>
        <v>0</v>
      </c>
      <c r="O711" s="103">
        <v>0</v>
      </c>
      <c r="Q711" s="87">
        <f t="shared" si="51"/>
        <v>0</v>
      </c>
      <c r="S711" s="103">
        <v>0</v>
      </c>
    </row>
    <row r="712" spans="1:19" x14ac:dyDescent="0.35">
      <c r="A712" s="83" t="s">
        <v>252</v>
      </c>
      <c r="D712" s="83" t="s">
        <v>1176</v>
      </c>
      <c r="F712" s="89">
        <f>4450+5175</f>
        <v>9625</v>
      </c>
      <c r="H712" s="89">
        <f>4450+5175</f>
        <v>9625</v>
      </c>
      <c r="J712" s="89">
        <f>4450+5175</f>
        <v>9625</v>
      </c>
      <c r="K712" s="89"/>
      <c r="M712" s="80">
        <f>+J712/12*3</f>
        <v>2406.25</v>
      </c>
      <c r="O712" s="103">
        <v>2406</v>
      </c>
      <c r="Q712" s="87">
        <f t="shared" si="51"/>
        <v>0.25</v>
      </c>
      <c r="S712" s="103">
        <v>2406</v>
      </c>
    </row>
    <row r="713" spans="1:19" hidden="1" x14ac:dyDescent="0.35">
      <c r="A713" s="83" t="s">
        <v>299</v>
      </c>
      <c r="D713" s="83" t="s">
        <v>255</v>
      </c>
      <c r="F713" s="89">
        <v>0</v>
      </c>
      <c r="H713" s="89">
        <v>0</v>
      </c>
      <c r="J713" s="89">
        <v>0</v>
      </c>
      <c r="K713" s="89"/>
      <c r="M713" s="89">
        <v>0</v>
      </c>
      <c r="O713" s="89">
        <v>0</v>
      </c>
      <c r="Q713" s="103">
        <v>0</v>
      </c>
      <c r="S713" s="103">
        <v>0</v>
      </c>
    </row>
    <row r="714" spans="1:19" ht="13.9" x14ac:dyDescent="0.4">
      <c r="B714" s="82"/>
      <c r="D714" s="88" t="s">
        <v>1042</v>
      </c>
      <c r="F714" s="90">
        <f>SUM(F705:F713)</f>
        <v>19225</v>
      </c>
      <c r="H714" s="90">
        <f>SUM(H705:H713)</f>
        <v>19826</v>
      </c>
      <c r="J714" s="90">
        <f>SUM(J705:J713)</f>
        <v>19225</v>
      </c>
      <c r="K714" s="137"/>
      <c r="M714" s="90">
        <f>SUM(M705:M713)</f>
        <v>4806.25</v>
      </c>
      <c r="O714" s="90">
        <f>SUM(O705:O713)</f>
        <v>4860</v>
      </c>
      <c r="Q714" s="91">
        <f>SUM(Q705:Q713)</f>
        <v>-53.75</v>
      </c>
      <c r="S714" s="91">
        <f>SUM(S705:S713)</f>
        <v>4862</v>
      </c>
    </row>
    <row r="715" spans="1:19" ht="13.9" x14ac:dyDescent="0.4">
      <c r="B715" s="82"/>
      <c r="D715" s="88" t="s">
        <v>1181</v>
      </c>
      <c r="F715" s="96">
        <f>+F714+F702+F691+F680+F669+F657</f>
        <v>102000</v>
      </c>
      <c r="H715" s="96">
        <f>+H714+H702+H691+H680+H669+H657</f>
        <v>131738</v>
      </c>
      <c r="J715" s="96">
        <f>+J714+J702+J691+J680+J669+J657</f>
        <v>102000</v>
      </c>
      <c r="K715" s="137"/>
      <c r="M715" s="96">
        <f>+M714+M702+M691+M680+M669+M657</f>
        <v>25500</v>
      </c>
      <c r="O715" s="96">
        <f>+O714+O702+O691+O680+O669+O657</f>
        <v>26329</v>
      </c>
      <c r="Q715" s="97">
        <f>+Q714+Q702+Q691+Q680+Q669+Q657</f>
        <v>-829</v>
      </c>
      <c r="S715" s="97">
        <f>+S714+S702+S691+S680+S669+S657</f>
        <v>21553</v>
      </c>
    </row>
    <row r="716" spans="1:19" x14ac:dyDescent="0.35">
      <c r="F716" s="92"/>
      <c r="H716" s="92"/>
      <c r="J716" s="92"/>
      <c r="K716" s="92"/>
      <c r="M716" s="92"/>
      <c r="O716" s="92"/>
      <c r="Q716" s="95"/>
      <c r="S716" s="95"/>
    </row>
    <row r="717" spans="1:19" ht="13.9" x14ac:dyDescent="0.35">
      <c r="D717" s="82" t="s">
        <v>1182</v>
      </c>
      <c r="F717" s="92"/>
      <c r="H717" s="92"/>
      <c r="J717" s="92"/>
      <c r="K717" s="92"/>
      <c r="M717" s="92"/>
      <c r="O717" s="92"/>
      <c r="Q717" s="95"/>
      <c r="S717" s="95"/>
    </row>
    <row r="718" spans="1:19" x14ac:dyDescent="0.35">
      <c r="A718" s="83" t="s">
        <v>300</v>
      </c>
      <c r="D718" s="83" t="s">
        <v>1183</v>
      </c>
      <c r="F718" s="89">
        <v>-10000</v>
      </c>
      <c r="H718" s="89">
        <v>-10000</v>
      </c>
      <c r="J718" s="89">
        <v>-10000</v>
      </c>
      <c r="K718" s="89"/>
      <c r="M718" s="80">
        <f>+J718/12*3</f>
        <v>-2500</v>
      </c>
      <c r="O718" s="103">
        <v>-5000</v>
      </c>
      <c r="Q718" s="87">
        <f t="shared" ref="Q718:Q730" si="53">+M718-O718</f>
        <v>2500</v>
      </c>
      <c r="S718" s="103">
        <v>-5000</v>
      </c>
    </row>
    <row r="719" spans="1:19" x14ac:dyDescent="0.35">
      <c r="A719" s="83" t="s">
        <v>301</v>
      </c>
      <c r="D719" s="83" t="s">
        <v>1184</v>
      </c>
      <c r="F719" s="89">
        <v>-4000</v>
      </c>
      <c r="H719" s="89">
        <v>-4660</v>
      </c>
      <c r="J719" s="89">
        <v>-4000</v>
      </c>
      <c r="K719" s="89"/>
      <c r="M719" s="80">
        <f t="shared" ref="M719:M730" si="54">+J719/12*3</f>
        <v>-1000</v>
      </c>
      <c r="O719" s="103">
        <v>-1630</v>
      </c>
      <c r="Q719" s="87">
        <f t="shared" si="53"/>
        <v>630</v>
      </c>
      <c r="S719" s="103">
        <v>-1717</v>
      </c>
    </row>
    <row r="720" spans="1:19" x14ac:dyDescent="0.35">
      <c r="A720" s="83" t="s">
        <v>302</v>
      </c>
      <c r="D720" s="83" t="s">
        <v>1148</v>
      </c>
      <c r="F720" s="89">
        <v>-6516</v>
      </c>
      <c r="H720" s="103">
        <v>0</v>
      </c>
      <c r="J720" s="89">
        <v>-6516</v>
      </c>
      <c r="K720" s="89"/>
      <c r="M720" s="80">
        <f t="shared" si="54"/>
        <v>-1629</v>
      </c>
      <c r="O720" s="103">
        <v>0</v>
      </c>
      <c r="Q720" s="87">
        <f t="shared" si="53"/>
        <v>-1629</v>
      </c>
      <c r="S720" s="103">
        <v>0</v>
      </c>
    </row>
    <row r="721" spans="1:19" x14ac:dyDescent="0.35">
      <c r="A721" s="83" t="s">
        <v>303</v>
      </c>
      <c r="D721" s="83" t="s">
        <v>2694</v>
      </c>
      <c r="F721" s="103">
        <v>0</v>
      </c>
      <c r="H721" s="103">
        <v>0</v>
      </c>
      <c r="J721" s="103">
        <v>0</v>
      </c>
      <c r="K721" s="103"/>
      <c r="M721" s="80">
        <f t="shared" si="54"/>
        <v>0</v>
      </c>
      <c r="O721" s="103">
        <v>0</v>
      </c>
      <c r="Q721" s="87">
        <f t="shared" si="53"/>
        <v>0</v>
      </c>
      <c r="S721" s="103">
        <v>0</v>
      </c>
    </row>
    <row r="722" spans="1:19" x14ac:dyDescent="0.35">
      <c r="A722" s="83" t="s">
        <v>304</v>
      </c>
      <c r="D722" s="83" t="s">
        <v>1185</v>
      </c>
      <c r="F722" s="89">
        <v>4500</v>
      </c>
      <c r="H722" s="89">
        <v>8860</v>
      </c>
      <c r="J722" s="89">
        <v>4500</v>
      </c>
      <c r="K722" s="89"/>
      <c r="M722" s="80">
        <f t="shared" si="54"/>
        <v>1125</v>
      </c>
      <c r="O722" s="103">
        <v>2189</v>
      </c>
      <c r="Q722" s="87">
        <f t="shared" si="53"/>
        <v>-1064</v>
      </c>
      <c r="S722" s="103">
        <v>3103</v>
      </c>
    </row>
    <row r="723" spans="1:19" x14ac:dyDescent="0.35">
      <c r="A723" s="83" t="s">
        <v>305</v>
      </c>
      <c r="D723" s="83" t="s">
        <v>1186</v>
      </c>
      <c r="F723" s="89">
        <v>4900</v>
      </c>
      <c r="H723" s="89">
        <v>3539</v>
      </c>
      <c r="J723" s="89">
        <v>4900</v>
      </c>
      <c r="K723" s="89"/>
      <c r="M723" s="80">
        <f t="shared" si="54"/>
        <v>1225</v>
      </c>
      <c r="O723" s="103">
        <v>462</v>
      </c>
      <c r="Q723" s="87">
        <f t="shared" si="53"/>
        <v>763</v>
      </c>
      <c r="S723" s="103">
        <v>774</v>
      </c>
    </row>
    <row r="724" spans="1:19" x14ac:dyDescent="0.35">
      <c r="A724" s="83" t="s">
        <v>306</v>
      </c>
      <c r="D724" s="83" t="s">
        <v>1173</v>
      </c>
      <c r="F724" s="89">
        <v>2500</v>
      </c>
      <c r="H724" s="89">
        <v>6636</v>
      </c>
      <c r="J724" s="89">
        <v>2500</v>
      </c>
      <c r="K724" s="89"/>
      <c r="M724" s="80">
        <f t="shared" si="54"/>
        <v>625</v>
      </c>
      <c r="O724" s="103">
        <v>630</v>
      </c>
      <c r="Q724" s="87">
        <f t="shared" si="53"/>
        <v>-5</v>
      </c>
      <c r="S724" s="103">
        <v>206</v>
      </c>
    </row>
    <row r="725" spans="1:19" x14ac:dyDescent="0.35">
      <c r="A725" s="83" t="s">
        <v>307</v>
      </c>
      <c r="D725" s="83" t="s">
        <v>1187</v>
      </c>
      <c r="F725" s="89">
        <v>700</v>
      </c>
      <c r="H725" s="89">
        <v>204</v>
      </c>
      <c r="J725" s="89">
        <v>700</v>
      </c>
      <c r="K725" s="89"/>
      <c r="M725" s="80">
        <f t="shared" si="54"/>
        <v>175</v>
      </c>
      <c r="O725" s="103">
        <v>0</v>
      </c>
      <c r="Q725" s="87">
        <f t="shared" si="53"/>
        <v>175</v>
      </c>
      <c r="S725" s="103">
        <v>204</v>
      </c>
    </row>
    <row r="726" spans="1:19" x14ac:dyDescent="0.35">
      <c r="A726" s="83" t="s">
        <v>308</v>
      </c>
      <c r="D726" s="83" t="s">
        <v>1174</v>
      </c>
      <c r="F726" s="89">
        <v>400</v>
      </c>
      <c r="H726" s="89">
        <v>94</v>
      </c>
      <c r="J726" s="89">
        <v>400</v>
      </c>
      <c r="K726" s="89"/>
      <c r="M726" s="80">
        <f t="shared" si="54"/>
        <v>100</v>
      </c>
      <c r="O726" s="103">
        <v>0</v>
      </c>
      <c r="Q726" s="87">
        <f t="shared" si="53"/>
        <v>100</v>
      </c>
      <c r="S726" s="103">
        <v>94</v>
      </c>
    </row>
    <row r="727" spans="1:19" x14ac:dyDescent="0.35">
      <c r="A727" s="83" t="s">
        <v>309</v>
      </c>
      <c r="D727" s="83" t="s">
        <v>1188</v>
      </c>
      <c r="F727" s="89">
        <v>500</v>
      </c>
      <c r="H727" s="103">
        <v>0</v>
      </c>
      <c r="J727" s="89">
        <v>500</v>
      </c>
      <c r="K727" s="89"/>
      <c r="M727" s="80">
        <f t="shared" si="54"/>
        <v>125</v>
      </c>
      <c r="O727" s="103">
        <v>0</v>
      </c>
      <c r="Q727" s="87">
        <f t="shared" si="53"/>
        <v>125</v>
      </c>
      <c r="S727" s="103">
        <v>0</v>
      </c>
    </row>
    <row r="728" spans="1:19" x14ac:dyDescent="0.35">
      <c r="A728" s="83" t="s">
        <v>310</v>
      </c>
      <c r="D728" s="83" t="s">
        <v>1189</v>
      </c>
      <c r="F728" s="89">
        <v>1592</v>
      </c>
      <c r="H728" s="103">
        <v>0</v>
      </c>
      <c r="J728" s="89">
        <v>1592</v>
      </c>
      <c r="K728" s="89"/>
      <c r="M728" s="80">
        <f t="shared" si="54"/>
        <v>398</v>
      </c>
      <c r="O728" s="103">
        <v>0</v>
      </c>
      <c r="Q728" s="87">
        <f t="shared" si="53"/>
        <v>398</v>
      </c>
      <c r="S728" s="103">
        <v>0</v>
      </c>
    </row>
    <row r="729" spans="1:19" x14ac:dyDescent="0.35">
      <c r="A729" s="83" t="s">
        <v>311</v>
      </c>
      <c r="D729" s="83" t="s">
        <v>1176</v>
      </c>
      <c r="F729" s="89">
        <v>3500</v>
      </c>
      <c r="H729" s="89">
        <v>9660</v>
      </c>
      <c r="J729" s="89">
        <v>3500</v>
      </c>
      <c r="K729" s="89"/>
      <c r="M729" s="80">
        <f t="shared" si="54"/>
        <v>875</v>
      </c>
      <c r="O729" s="103">
        <v>0</v>
      </c>
      <c r="Q729" s="87">
        <f t="shared" si="53"/>
        <v>875</v>
      </c>
      <c r="S729" s="103">
        <v>0</v>
      </c>
    </row>
    <row r="730" spans="1:19" x14ac:dyDescent="0.35">
      <c r="A730" s="83" t="s">
        <v>312</v>
      </c>
      <c r="D730" s="83" t="s">
        <v>2617</v>
      </c>
      <c r="F730" s="89">
        <v>1924</v>
      </c>
      <c r="H730" s="89">
        <v>1693</v>
      </c>
      <c r="J730" s="89">
        <v>1924</v>
      </c>
      <c r="K730" s="89"/>
      <c r="M730" s="80">
        <f t="shared" si="54"/>
        <v>481</v>
      </c>
      <c r="O730" s="103">
        <v>258</v>
      </c>
      <c r="Q730" s="87">
        <f t="shared" si="53"/>
        <v>223</v>
      </c>
      <c r="S730" s="103">
        <v>385</v>
      </c>
    </row>
    <row r="731" spans="1:19" hidden="1" x14ac:dyDescent="0.35">
      <c r="A731" s="83" t="s">
        <v>313</v>
      </c>
      <c r="D731" s="83" t="s">
        <v>255</v>
      </c>
      <c r="F731" s="89">
        <v>0</v>
      </c>
      <c r="H731" s="89">
        <v>0</v>
      </c>
      <c r="J731" s="89">
        <v>0</v>
      </c>
      <c r="K731" s="89"/>
      <c r="M731" s="89">
        <v>0</v>
      </c>
      <c r="O731" s="89">
        <v>0</v>
      </c>
      <c r="Q731" s="103">
        <v>0</v>
      </c>
      <c r="S731" s="103">
        <v>0</v>
      </c>
    </row>
    <row r="732" spans="1:19" hidden="1" x14ac:dyDescent="0.35">
      <c r="A732" s="83" t="s">
        <v>314</v>
      </c>
      <c r="D732" s="83" t="s">
        <v>1190</v>
      </c>
      <c r="F732" s="89">
        <v>0</v>
      </c>
      <c r="H732" s="89">
        <v>0</v>
      </c>
      <c r="J732" s="89">
        <v>0</v>
      </c>
      <c r="K732" s="89"/>
      <c r="M732" s="89">
        <v>0</v>
      </c>
      <c r="O732" s="89">
        <v>0</v>
      </c>
      <c r="Q732" s="103">
        <v>0</v>
      </c>
      <c r="S732" s="103">
        <v>0</v>
      </c>
    </row>
    <row r="733" spans="1:19" hidden="1" x14ac:dyDescent="0.35">
      <c r="A733" s="83" t="s">
        <v>315</v>
      </c>
      <c r="D733" s="83" t="s">
        <v>2658</v>
      </c>
      <c r="F733" s="89">
        <v>0</v>
      </c>
      <c r="H733" s="89">
        <v>0</v>
      </c>
      <c r="J733" s="89">
        <v>0</v>
      </c>
      <c r="K733" s="89"/>
      <c r="M733" s="89">
        <v>0</v>
      </c>
      <c r="O733" s="89">
        <v>0</v>
      </c>
      <c r="Q733" s="103">
        <v>0</v>
      </c>
      <c r="S733" s="103">
        <v>0</v>
      </c>
    </row>
    <row r="734" spans="1:19" ht="13.9" x14ac:dyDescent="0.4">
      <c r="B734" s="82"/>
      <c r="D734" s="88" t="s">
        <v>1191</v>
      </c>
      <c r="F734" s="90">
        <f>SUM(F718:F733)</f>
        <v>0</v>
      </c>
      <c r="H734" s="90">
        <f>SUM(H718:H733)</f>
        <v>16026</v>
      </c>
      <c r="J734" s="90">
        <f>SUM(J718:J733)</f>
        <v>0</v>
      </c>
      <c r="K734" s="137"/>
      <c r="M734" s="90">
        <f>SUM(M718:M733)</f>
        <v>0</v>
      </c>
      <c r="O734" s="90">
        <f>SUM(O718:O733)</f>
        <v>-3091</v>
      </c>
      <c r="Q734" s="91">
        <f>SUM(Q718:Q733)</f>
        <v>3091</v>
      </c>
      <c r="S734" s="91">
        <f>SUM(S718:S733)</f>
        <v>-1951</v>
      </c>
    </row>
    <row r="735" spans="1:19" x14ac:dyDescent="0.35">
      <c r="F735" s="92"/>
      <c r="H735" s="92"/>
      <c r="J735" s="92"/>
      <c r="K735" s="92"/>
      <c r="M735" s="92"/>
      <c r="O735" s="92"/>
      <c r="Q735" s="95"/>
      <c r="S735" s="95"/>
    </row>
    <row r="736" spans="1:19" ht="13.9" x14ac:dyDescent="0.35">
      <c r="D736" s="82" t="s">
        <v>1192</v>
      </c>
      <c r="F736" s="92"/>
      <c r="H736" s="92"/>
      <c r="J736" s="92"/>
      <c r="K736" s="92"/>
      <c r="M736" s="92"/>
      <c r="O736" s="92"/>
      <c r="Q736" s="95"/>
      <c r="S736" s="95"/>
    </row>
    <row r="737" spans="1:19" x14ac:dyDescent="0.35">
      <c r="A737" s="83" t="s">
        <v>316</v>
      </c>
      <c r="D737" s="83" t="s">
        <v>1171</v>
      </c>
      <c r="F737" s="89">
        <v>16284</v>
      </c>
      <c r="H737" s="89">
        <v>17915</v>
      </c>
      <c r="J737" s="89">
        <v>16284</v>
      </c>
      <c r="K737" s="89"/>
      <c r="M737" s="80">
        <f>+J737/12*3</f>
        <v>4071</v>
      </c>
      <c r="O737" s="103">
        <v>6276</v>
      </c>
      <c r="Q737" s="87">
        <f t="shared" ref="Q737:Q746" si="55">+M737-O737</f>
        <v>-2205</v>
      </c>
      <c r="S737" s="103">
        <v>4803</v>
      </c>
    </row>
    <row r="738" spans="1:19" x14ac:dyDescent="0.35">
      <c r="A738" s="83" t="s">
        <v>317</v>
      </c>
      <c r="D738" s="83" t="s">
        <v>1186</v>
      </c>
      <c r="F738" s="89">
        <v>7000</v>
      </c>
      <c r="H738" s="89">
        <v>9455</v>
      </c>
      <c r="J738" s="89">
        <v>7000</v>
      </c>
      <c r="K738" s="89"/>
      <c r="M738" s="80">
        <f t="shared" ref="M738:M746" si="56">+J738/12*3</f>
        <v>1750</v>
      </c>
      <c r="O738" s="103">
        <v>596</v>
      </c>
      <c r="Q738" s="87">
        <f t="shared" si="55"/>
        <v>1154</v>
      </c>
      <c r="S738" s="103">
        <v>75</v>
      </c>
    </row>
    <row r="739" spans="1:19" x14ac:dyDescent="0.35">
      <c r="A739" s="83" t="s">
        <v>318</v>
      </c>
      <c r="D739" s="83" t="s">
        <v>1173</v>
      </c>
      <c r="F739" s="89">
        <v>8070</v>
      </c>
      <c r="H739" s="89">
        <v>8201</v>
      </c>
      <c r="J739" s="89">
        <v>8070</v>
      </c>
      <c r="K739" s="89"/>
      <c r="M739" s="80">
        <f t="shared" si="56"/>
        <v>2017.5</v>
      </c>
      <c r="O739" s="103">
        <v>1855</v>
      </c>
      <c r="Q739" s="87">
        <f t="shared" si="55"/>
        <v>162.5</v>
      </c>
      <c r="S739" s="103">
        <v>4836</v>
      </c>
    </row>
    <row r="740" spans="1:19" x14ac:dyDescent="0.35">
      <c r="A740" s="83" t="s">
        <v>319</v>
      </c>
      <c r="D740" s="83" t="s">
        <v>1187</v>
      </c>
      <c r="F740" s="89">
        <v>5900</v>
      </c>
      <c r="H740" s="103">
        <v>0</v>
      </c>
      <c r="J740" s="89">
        <v>5900</v>
      </c>
      <c r="K740" s="89"/>
      <c r="M740" s="80">
        <f t="shared" si="56"/>
        <v>1475</v>
      </c>
      <c r="O740" s="103">
        <v>0</v>
      </c>
      <c r="Q740" s="87">
        <f t="shared" si="55"/>
        <v>1475</v>
      </c>
      <c r="S740" s="103">
        <v>0</v>
      </c>
    </row>
    <row r="741" spans="1:19" x14ac:dyDescent="0.35">
      <c r="A741" s="83" t="s">
        <v>320</v>
      </c>
      <c r="D741" s="83" t="s">
        <v>1174</v>
      </c>
      <c r="F741" s="89">
        <v>3500</v>
      </c>
      <c r="H741" s="89">
        <v>3154</v>
      </c>
      <c r="J741" s="89">
        <v>3500</v>
      </c>
      <c r="K741" s="89"/>
      <c r="M741" s="80">
        <f t="shared" si="56"/>
        <v>875</v>
      </c>
      <c r="O741" s="103">
        <v>299</v>
      </c>
      <c r="Q741" s="87">
        <f t="shared" si="55"/>
        <v>576</v>
      </c>
      <c r="S741" s="103">
        <v>490</v>
      </c>
    </row>
    <row r="742" spans="1:19" x14ac:dyDescent="0.35">
      <c r="A742" s="83" t="s">
        <v>321</v>
      </c>
      <c r="D742" s="83" t="s">
        <v>1188</v>
      </c>
      <c r="F742" s="89">
        <v>12000</v>
      </c>
      <c r="H742" s="89">
        <v>13440</v>
      </c>
      <c r="J742" s="89">
        <v>12000</v>
      </c>
      <c r="K742" s="89"/>
      <c r="M742" s="80">
        <f t="shared" si="56"/>
        <v>3000</v>
      </c>
      <c r="O742" s="103">
        <v>3945</v>
      </c>
      <c r="Q742" s="87">
        <f t="shared" si="55"/>
        <v>-945</v>
      </c>
      <c r="S742" s="103">
        <v>0</v>
      </c>
    </row>
    <row r="743" spans="1:19" x14ac:dyDescent="0.35">
      <c r="A743" s="83" t="s">
        <v>322</v>
      </c>
      <c r="D743" s="83" t="s">
        <v>1175</v>
      </c>
      <c r="F743" s="89">
        <v>13500</v>
      </c>
      <c r="H743" s="89">
        <v>13500</v>
      </c>
      <c r="J743" s="89">
        <v>13500</v>
      </c>
      <c r="K743" s="89"/>
      <c r="M743" s="80">
        <f t="shared" si="56"/>
        <v>3375</v>
      </c>
      <c r="O743" s="103">
        <v>0</v>
      </c>
      <c r="Q743" s="87">
        <f t="shared" si="55"/>
        <v>3375</v>
      </c>
      <c r="S743" s="103">
        <v>0</v>
      </c>
    </row>
    <row r="744" spans="1:19" x14ac:dyDescent="0.35">
      <c r="A744" s="83" t="s">
        <v>323</v>
      </c>
      <c r="D744" s="83" t="s">
        <v>1176</v>
      </c>
      <c r="F744" s="89">
        <v>15000</v>
      </c>
      <c r="H744" s="89">
        <v>19422</v>
      </c>
      <c r="J744" s="89">
        <v>15000</v>
      </c>
      <c r="K744" s="89"/>
      <c r="M744" s="80">
        <f t="shared" si="56"/>
        <v>3750</v>
      </c>
      <c r="O744" s="103">
        <v>0</v>
      </c>
      <c r="Q744" s="87">
        <f t="shared" si="55"/>
        <v>3750</v>
      </c>
      <c r="S744" s="103">
        <v>2967</v>
      </c>
    </row>
    <row r="745" spans="1:19" x14ac:dyDescent="0.35">
      <c r="A745" s="83" t="s">
        <v>324</v>
      </c>
      <c r="D745" s="83" t="s">
        <v>1158</v>
      </c>
      <c r="F745" s="89">
        <v>425</v>
      </c>
      <c r="H745" s="103">
        <v>0</v>
      </c>
      <c r="J745" s="89">
        <v>425</v>
      </c>
      <c r="K745" s="89"/>
      <c r="M745" s="80">
        <f t="shared" si="56"/>
        <v>106.25</v>
      </c>
      <c r="O745" s="103">
        <v>0</v>
      </c>
      <c r="Q745" s="87">
        <f t="shared" si="55"/>
        <v>106.25</v>
      </c>
      <c r="S745" s="103">
        <v>0</v>
      </c>
    </row>
    <row r="746" spans="1:19" x14ac:dyDescent="0.35">
      <c r="A746" s="83" t="s">
        <v>325</v>
      </c>
      <c r="D746" s="83" t="s">
        <v>2658</v>
      </c>
      <c r="F746" s="89">
        <v>100</v>
      </c>
      <c r="H746" s="89">
        <v>-100</v>
      </c>
      <c r="J746" s="89">
        <v>100</v>
      </c>
      <c r="K746" s="89"/>
      <c r="M746" s="80">
        <f t="shared" si="56"/>
        <v>25</v>
      </c>
      <c r="O746" s="103">
        <v>0</v>
      </c>
      <c r="Q746" s="87">
        <f t="shared" si="55"/>
        <v>25</v>
      </c>
      <c r="S746" s="103">
        <v>0</v>
      </c>
    </row>
    <row r="747" spans="1:19" ht="13.9" x14ac:dyDescent="0.35">
      <c r="D747" s="82" t="s">
        <v>1193</v>
      </c>
      <c r="F747" s="90">
        <f>SUM(F737:F746)</f>
        <v>81779</v>
      </c>
      <c r="H747" s="90">
        <f>SUM(H737:H746)</f>
        <v>84987</v>
      </c>
      <c r="J747" s="90">
        <f>SUM(J737:J746)</f>
        <v>81779</v>
      </c>
      <c r="K747" s="137"/>
      <c r="M747" s="90">
        <f>SUM(M737:M746)</f>
        <v>20444.75</v>
      </c>
      <c r="O747" s="90">
        <f>SUM(O737:O746)</f>
        <v>12971</v>
      </c>
      <c r="Q747" s="91">
        <f>SUM(Q737:Q746)</f>
        <v>7473.75</v>
      </c>
      <c r="S747" s="91">
        <f>SUM(S737:S746)</f>
        <v>13171</v>
      </c>
    </row>
    <row r="748" spans="1:19" x14ac:dyDescent="0.35">
      <c r="F748" s="92"/>
      <c r="H748" s="92"/>
      <c r="J748" s="92"/>
      <c r="K748" s="92"/>
      <c r="M748" s="92"/>
      <c r="O748" s="92"/>
      <c r="Q748" s="95"/>
      <c r="S748" s="95"/>
    </row>
    <row r="749" spans="1:19" ht="13.9" x14ac:dyDescent="0.35">
      <c r="D749" s="82" t="s">
        <v>2164</v>
      </c>
      <c r="F749" s="92"/>
      <c r="H749" s="92"/>
      <c r="J749" s="92"/>
      <c r="K749" s="92"/>
      <c r="M749" s="92"/>
      <c r="O749" s="92"/>
      <c r="Q749" s="95"/>
      <c r="S749" s="95"/>
    </row>
    <row r="750" spans="1:19" x14ac:dyDescent="0.35">
      <c r="A750" s="83" t="s">
        <v>326</v>
      </c>
      <c r="D750" s="83" t="s">
        <v>2661</v>
      </c>
      <c r="F750" s="103">
        <v>0</v>
      </c>
      <c r="H750" s="89">
        <v>-57232</v>
      </c>
      <c r="J750" s="103">
        <v>0</v>
      </c>
      <c r="K750" s="103"/>
      <c r="M750" s="80">
        <f>+J750/12*3</f>
        <v>0</v>
      </c>
      <c r="O750" s="103">
        <v>0</v>
      </c>
      <c r="Q750" s="87">
        <f t="shared" ref="Q750:Q777" si="57">+M750-O750</f>
        <v>0</v>
      </c>
      <c r="S750" s="103">
        <v>0</v>
      </c>
    </row>
    <row r="751" spans="1:19" x14ac:dyDescent="0.35">
      <c r="A751" s="83" t="s">
        <v>327</v>
      </c>
      <c r="D751" s="83" t="s">
        <v>1196</v>
      </c>
      <c r="F751" s="103">
        <v>0</v>
      </c>
      <c r="H751" s="103">
        <v>0</v>
      </c>
      <c r="J751" s="103">
        <v>0</v>
      </c>
      <c r="K751" s="103"/>
      <c r="M751" s="80">
        <f t="shared" ref="M751:M777" si="58">+J751/12*3</f>
        <v>0</v>
      </c>
      <c r="O751" s="103">
        <v>0</v>
      </c>
      <c r="Q751" s="87">
        <f t="shared" si="57"/>
        <v>0</v>
      </c>
      <c r="S751" s="103">
        <v>0</v>
      </c>
    </row>
    <row r="752" spans="1:19" x14ac:dyDescent="0.35">
      <c r="A752" s="83" t="s">
        <v>328</v>
      </c>
      <c r="D752" s="83" t="s">
        <v>1197</v>
      </c>
      <c r="F752" s="103">
        <v>0</v>
      </c>
      <c r="H752" s="89">
        <v>-5498</v>
      </c>
      <c r="J752" s="103">
        <v>0</v>
      </c>
      <c r="K752" s="103"/>
      <c r="M752" s="80">
        <f t="shared" si="58"/>
        <v>0</v>
      </c>
      <c r="O752" s="103">
        <v>0</v>
      </c>
      <c r="Q752" s="87">
        <f t="shared" si="57"/>
        <v>0</v>
      </c>
      <c r="S752" s="103">
        <v>0</v>
      </c>
    </row>
    <row r="753" spans="1:19" x14ac:dyDescent="0.35">
      <c r="A753" s="83" t="s">
        <v>329</v>
      </c>
      <c r="D753" s="83" t="s">
        <v>1198</v>
      </c>
      <c r="F753" s="89">
        <v>-9425</v>
      </c>
      <c r="H753" s="89">
        <v>-8700</v>
      </c>
      <c r="J753" s="89">
        <v>-9425</v>
      </c>
      <c r="K753" s="89"/>
      <c r="M753" s="80">
        <f t="shared" si="58"/>
        <v>-2356.25</v>
      </c>
      <c r="O753" s="103">
        <v>-2175</v>
      </c>
      <c r="Q753" s="87">
        <f t="shared" si="57"/>
        <v>-181.25</v>
      </c>
      <c r="S753" s="103">
        <v>-2175</v>
      </c>
    </row>
    <row r="754" spans="1:19" x14ac:dyDescent="0.35">
      <c r="A754" s="83" t="s">
        <v>330</v>
      </c>
      <c r="D754" s="83" t="s">
        <v>1199</v>
      </c>
      <c r="F754" s="103">
        <v>0</v>
      </c>
      <c r="H754" s="103">
        <v>0</v>
      </c>
      <c r="J754" s="103">
        <v>0</v>
      </c>
      <c r="K754" s="103"/>
      <c r="M754" s="80">
        <f t="shared" si="58"/>
        <v>0</v>
      </c>
      <c r="O754" s="103">
        <v>0</v>
      </c>
      <c r="Q754" s="87">
        <f t="shared" si="57"/>
        <v>0</v>
      </c>
      <c r="S754" s="103">
        <v>0</v>
      </c>
    </row>
    <row r="755" spans="1:19" x14ac:dyDescent="0.35">
      <c r="A755" s="83" t="s">
        <v>331</v>
      </c>
      <c r="D755" s="83" t="s">
        <v>1200</v>
      </c>
      <c r="F755" s="89">
        <v>-30550</v>
      </c>
      <c r="H755" s="89">
        <v>-33784</v>
      </c>
      <c r="J755" s="89">
        <v>-30550</v>
      </c>
      <c r="K755" s="89"/>
      <c r="M755" s="80">
        <f t="shared" si="58"/>
        <v>-7637.5</v>
      </c>
      <c r="O755" s="103">
        <v>0</v>
      </c>
      <c r="Q755" s="87">
        <f t="shared" si="57"/>
        <v>-7637.5</v>
      </c>
      <c r="S755" s="103">
        <v>0</v>
      </c>
    </row>
    <row r="756" spans="1:19" x14ac:dyDescent="0.35">
      <c r="A756" s="83" t="s">
        <v>332</v>
      </c>
      <c r="D756" s="83" t="s">
        <v>1045</v>
      </c>
      <c r="F756" s="89">
        <v>-17000</v>
      </c>
      <c r="H756" s="103">
        <v>0</v>
      </c>
      <c r="J756" s="89">
        <v>-17000</v>
      </c>
      <c r="K756" s="89"/>
      <c r="M756" s="80">
        <f t="shared" si="58"/>
        <v>-4250</v>
      </c>
      <c r="O756" s="103">
        <v>0</v>
      </c>
      <c r="Q756" s="87">
        <f t="shared" si="57"/>
        <v>-4250</v>
      </c>
      <c r="S756" s="103">
        <v>0</v>
      </c>
    </row>
    <row r="757" spans="1:19" x14ac:dyDescent="0.35">
      <c r="A757" s="83" t="s">
        <v>333</v>
      </c>
      <c r="D757" s="83" t="s">
        <v>1186</v>
      </c>
      <c r="F757" s="103">
        <v>0</v>
      </c>
      <c r="H757" s="89">
        <v>-360</v>
      </c>
      <c r="J757" s="103">
        <v>0</v>
      </c>
      <c r="K757" s="103"/>
      <c r="M757" s="80">
        <f t="shared" si="58"/>
        <v>0</v>
      </c>
      <c r="O757" s="103">
        <v>0</v>
      </c>
      <c r="Q757" s="87">
        <f t="shared" si="57"/>
        <v>0</v>
      </c>
      <c r="S757" s="103">
        <v>0</v>
      </c>
    </row>
    <row r="758" spans="1:19" hidden="1" x14ac:dyDescent="0.35">
      <c r="A758" s="83" t="s">
        <v>334</v>
      </c>
      <c r="D758" s="83" t="s">
        <v>1201</v>
      </c>
      <c r="F758" s="89">
        <v>0</v>
      </c>
      <c r="H758" s="89">
        <v>0</v>
      </c>
      <c r="J758" s="89">
        <v>0</v>
      </c>
      <c r="K758" s="89"/>
      <c r="M758" s="80">
        <f t="shared" si="58"/>
        <v>0</v>
      </c>
      <c r="O758" s="103">
        <v>0</v>
      </c>
      <c r="Q758" s="87">
        <f t="shared" si="57"/>
        <v>0</v>
      </c>
      <c r="S758" s="103">
        <v>0</v>
      </c>
    </row>
    <row r="759" spans="1:19" hidden="1" x14ac:dyDescent="0.35">
      <c r="A759" s="83" t="s">
        <v>335</v>
      </c>
      <c r="D759" s="83" t="s">
        <v>336</v>
      </c>
      <c r="F759" s="89">
        <v>0</v>
      </c>
      <c r="H759" s="89">
        <v>0</v>
      </c>
      <c r="J759" s="89">
        <v>0</v>
      </c>
      <c r="K759" s="89"/>
      <c r="M759" s="80">
        <f t="shared" si="58"/>
        <v>0</v>
      </c>
      <c r="O759" s="103">
        <v>0</v>
      </c>
      <c r="Q759" s="87">
        <f t="shared" si="57"/>
        <v>0</v>
      </c>
      <c r="S759" s="103">
        <v>0</v>
      </c>
    </row>
    <row r="760" spans="1:19" x14ac:dyDescent="0.35">
      <c r="A760" s="83" t="s">
        <v>337</v>
      </c>
      <c r="D760" s="83" t="s">
        <v>1202</v>
      </c>
      <c r="F760" s="89">
        <v>3651</v>
      </c>
      <c r="H760" s="89">
        <v>1683</v>
      </c>
      <c r="J760" s="89">
        <v>3651</v>
      </c>
      <c r="K760" s="89"/>
      <c r="M760" s="80">
        <f t="shared" si="58"/>
        <v>912.75</v>
      </c>
      <c r="O760" s="103">
        <v>750</v>
      </c>
      <c r="Q760" s="87">
        <f t="shared" si="57"/>
        <v>162.75</v>
      </c>
      <c r="S760" s="103">
        <v>0</v>
      </c>
    </row>
    <row r="761" spans="1:19" x14ac:dyDescent="0.35">
      <c r="A761" s="83" t="s">
        <v>338</v>
      </c>
      <c r="D761" s="83" t="s">
        <v>1203</v>
      </c>
      <c r="F761" s="89">
        <v>3651</v>
      </c>
      <c r="H761" s="89">
        <v>5054</v>
      </c>
      <c r="J761" s="89">
        <v>3651</v>
      </c>
      <c r="K761" s="89"/>
      <c r="M761" s="80">
        <f t="shared" si="58"/>
        <v>912.75</v>
      </c>
      <c r="O761" s="103">
        <v>0</v>
      </c>
      <c r="Q761" s="87">
        <f t="shared" si="57"/>
        <v>912.75</v>
      </c>
      <c r="S761" s="103">
        <v>0</v>
      </c>
    </row>
    <row r="762" spans="1:19" x14ac:dyDescent="0.35">
      <c r="A762" s="83" t="s">
        <v>339</v>
      </c>
      <c r="D762" s="83" t="s">
        <v>1204</v>
      </c>
      <c r="F762" s="89">
        <v>3651</v>
      </c>
      <c r="H762" s="89">
        <v>3080</v>
      </c>
      <c r="J762" s="89">
        <v>3651</v>
      </c>
      <c r="K762" s="89"/>
      <c r="M762" s="80">
        <f t="shared" si="58"/>
        <v>912.75</v>
      </c>
      <c r="O762" s="103">
        <v>635</v>
      </c>
      <c r="Q762" s="87">
        <f t="shared" si="57"/>
        <v>277.75</v>
      </c>
      <c r="S762" s="103">
        <v>0</v>
      </c>
    </row>
    <row r="763" spans="1:19" x14ac:dyDescent="0.35">
      <c r="A763" s="83" t="s">
        <v>340</v>
      </c>
      <c r="D763" s="83" t="s">
        <v>1205</v>
      </c>
      <c r="F763" s="89">
        <v>3651</v>
      </c>
      <c r="H763" s="89">
        <v>1664</v>
      </c>
      <c r="J763" s="89">
        <v>3651</v>
      </c>
      <c r="K763" s="89"/>
      <c r="M763" s="80">
        <f t="shared" si="58"/>
        <v>912.75</v>
      </c>
      <c r="O763" s="103">
        <v>0</v>
      </c>
      <c r="Q763" s="87">
        <f t="shared" si="57"/>
        <v>912.75</v>
      </c>
      <c r="S763" s="103">
        <v>0</v>
      </c>
    </row>
    <row r="764" spans="1:19" x14ac:dyDescent="0.35">
      <c r="A764" s="83" t="s">
        <v>341</v>
      </c>
      <c r="D764" s="83" t="s">
        <v>1206</v>
      </c>
      <c r="F764" s="103">
        <v>0</v>
      </c>
      <c r="H764" s="103">
        <v>0</v>
      </c>
      <c r="J764" s="103">
        <v>0</v>
      </c>
      <c r="K764" s="103"/>
      <c r="M764" s="80">
        <f t="shared" si="58"/>
        <v>0</v>
      </c>
      <c r="O764" s="103">
        <v>0</v>
      </c>
      <c r="Q764" s="87">
        <f t="shared" si="57"/>
        <v>0</v>
      </c>
      <c r="S764" s="103">
        <v>0</v>
      </c>
    </row>
    <row r="765" spans="1:19" x14ac:dyDescent="0.35">
      <c r="A765" s="83" t="s">
        <v>342</v>
      </c>
      <c r="D765" s="83" t="s">
        <v>1207</v>
      </c>
      <c r="F765" s="89">
        <v>650</v>
      </c>
      <c r="H765" s="89">
        <v>2645</v>
      </c>
      <c r="J765" s="89">
        <v>650</v>
      </c>
      <c r="K765" s="89"/>
      <c r="M765" s="80">
        <f t="shared" si="58"/>
        <v>162.5</v>
      </c>
      <c r="O765" s="103">
        <v>432</v>
      </c>
      <c r="Q765" s="87">
        <f t="shared" si="57"/>
        <v>-269.5</v>
      </c>
      <c r="S765" s="103">
        <v>885</v>
      </c>
    </row>
    <row r="766" spans="1:19" x14ac:dyDescent="0.35">
      <c r="A766" s="83" t="s">
        <v>343</v>
      </c>
      <c r="D766" s="83" t="s">
        <v>1175</v>
      </c>
      <c r="F766" s="103">
        <v>0</v>
      </c>
      <c r="H766" s="103">
        <v>0</v>
      </c>
      <c r="J766" s="103">
        <v>0</v>
      </c>
      <c r="K766" s="103"/>
      <c r="M766" s="80">
        <f t="shared" si="58"/>
        <v>0</v>
      </c>
      <c r="O766" s="103">
        <v>0</v>
      </c>
      <c r="Q766" s="87">
        <f t="shared" si="57"/>
        <v>0</v>
      </c>
      <c r="S766" s="103">
        <v>0</v>
      </c>
    </row>
    <row r="767" spans="1:19" x14ac:dyDescent="0.35">
      <c r="A767" s="83" t="s">
        <v>344</v>
      </c>
      <c r="D767" s="83" t="s">
        <v>1208</v>
      </c>
      <c r="F767" s="89">
        <v>1245</v>
      </c>
      <c r="H767" s="103">
        <v>0</v>
      </c>
      <c r="J767" s="89">
        <v>1245</v>
      </c>
      <c r="K767" s="89"/>
      <c r="M767" s="80">
        <f t="shared" si="58"/>
        <v>311.25</v>
      </c>
      <c r="O767" s="103">
        <v>0</v>
      </c>
      <c r="Q767" s="87">
        <f t="shared" si="57"/>
        <v>311.25</v>
      </c>
      <c r="S767" s="103">
        <v>0</v>
      </c>
    </row>
    <row r="768" spans="1:19" hidden="1" x14ac:dyDescent="0.35">
      <c r="A768" s="83" t="s">
        <v>345</v>
      </c>
      <c r="D768" s="83" t="s">
        <v>346</v>
      </c>
      <c r="F768" s="89">
        <v>0</v>
      </c>
      <c r="H768" s="89">
        <v>0</v>
      </c>
      <c r="J768" s="89">
        <v>0</v>
      </c>
      <c r="K768" s="89"/>
      <c r="M768" s="80">
        <f t="shared" si="58"/>
        <v>0</v>
      </c>
      <c r="O768" s="103">
        <v>0</v>
      </c>
      <c r="Q768" s="87">
        <f t="shared" si="57"/>
        <v>0</v>
      </c>
      <c r="S768" s="103">
        <v>0</v>
      </c>
    </row>
    <row r="769" spans="1:19" hidden="1" x14ac:dyDescent="0.35">
      <c r="A769" s="83" t="s">
        <v>347</v>
      </c>
      <c r="D769" s="83" t="s">
        <v>348</v>
      </c>
      <c r="F769" s="89">
        <v>0</v>
      </c>
      <c r="H769" s="89">
        <v>0</v>
      </c>
      <c r="J769" s="89">
        <v>0</v>
      </c>
      <c r="K769" s="89"/>
      <c r="M769" s="80">
        <f t="shared" si="58"/>
        <v>0</v>
      </c>
      <c r="O769" s="103">
        <v>0</v>
      </c>
      <c r="Q769" s="87">
        <f t="shared" si="57"/>
        <v>0</v>
      </c>
      <c r="S769" s="103">
        <v>0</v>
      </c>
    </row>
    <row r="770" spans="1:19" hidden="1" x14ac:dyDescent="0.35">
      <c r="A770" s="83" t="s">
        <v>349</v>
      </c>
      <c r="D770" s="83" t="s">
        <v>350</v>
      </c>
      <c r="F770" s="89">
        <v>0</v>
      </c>
      <c r="H770" s="89">
        <v>0</v>
      </c>
      <c r="J770" s="89">
        <v>0</v>
      </c>
      <c r="K770" s="89"/>
      <c r="M770" s="80">
        <f t="shared" si="58"/>
        <v>0</v>
      </c>
      <c r="O770" s="103">
        <v>0</v>
      </c>
      <c r="Q770" s="87">
        <f t="shared" si="57"/>
        <v>0</v>
      </c>
      <c r="S770" s="103">
        <v>0</v>
      </c>
    </row>
    <row r="771" spans="1:19" hidden="1" x14ac:dyDescent="0.35">
      <c r="A771" s="83" t="s">
        <v>351</v>
      </c>
      <c r="D771" s="83" t="s">
        <v>352</v>
      </c>
      <c r="F771" s="89">
        <v>0</v>
      </c>
      <c r="H771" s="89">
        <v>0</v>
      </c>
      <c r="J771" s="89">
        <v>0</v>
      </c>
      <c r="K771" s="89"/>
      <c r="M771" s="80">
        <f t="shared" si="58"/>
        <v>0</v>
      </c>
      <c r="O771" s="103">
        <v>0</v>
      </c>
      <c r="Q771" s="87">
        <f t="shared" si="57"/>
        <v>0</v>
      </c>
      <c r="S771" s="103">
        <v>0</v>
      </c>
    </row>
    <row r="772" spans="1:19" x14ac:dyDescent="0.35">
      <c r="A772" s="83" t="s">
        <v>353</v>
      </c>
      <c r="D772" s="83" t="s">
        <v>1046</v>
      </c>
      <c r="F772" s="89">
        <v>17500</v>
      </c>
      <c r="H772" s="89">
        <v>17880</v>
      </c>
      <c r="J772" s="89">
        <v>17500</v>
      </c>
      <c r="K772" s="89"/>
      <c r="M772" s="80">
        <f t="shared" si="58"/>
        <v>4375</v>
      </c>
      <c r="O772" s="103">
        <v>4375</v>
      </c>
      <c r="Q772" s="87">
        <f t="shared" si="57"/>
        <v>0</v>
      </c>
      <c r="S772" s="103">
        <v>4375</v>
      </c>
    </row>
    <row r="773" spans="1:19" x14ac:dyDescent="0.35">
      <c r="A773" s="83" t="s">
        <v>354</v>
      </c>
      <c r="D773" s="83" t="s">
        <v>2244</v>
      </c>
      <c r="F773" s="89">
        <v>0</v>
      </c>
      <c r="H773" s="89">
        <v>0</v>
      </c>
      <c r="J773" s="89">
        <v>0</v>
      </c>
      <c r="K773" s="89"/>
      <c r="M773" s="80">
        <f t="shared" si="58"/>
        <v>0</v>
      </c>
      <c r="O773" s="103">
        <v>500</v>
      </c>
      <c r="Q773" s="87">
        <f t="shared" si="57"/>
        <v>-500</v>
      </c>
      <c r="S773" s="103">
        <v>0</v>
      </c>
    </row>
    <row r="774" spans="1:19" hidden="1" x14ac:dyDescent="0.35">
      <c r="A774" s="83" t="s">
        <v>355</v>
      </c>
      <c r="D774" s="83" t="s">
        <v>356</v>
      </c>
      <c r="F774" s="89">
        <v>0</v>
      </c>
      <c r="H774" s="89">
        <v>0</v>
      </c>
      <c r="J774" s="89">
        <v>0</v>
      </c>
      <c r="K774" s="89"/>
      <c r="M774" s="80">
        <f t="shared" si="58"/>
        <v>0</v>
      </c>
      <c r="O774" s="103">
        <v>0</v>
      </c>
      <c r="Q774" s="87">
        <f t="shared" si="57"/>
        <v>0</v>
      </c>
      <c r="S774" s="103">
        <v>0</v>
      </c>
    </row>
    <row r="775" spans="1:19" x14ac:dyDescent="0.35">
      <c r="A775" s="83" t="s">
        <v>357</v>
      </c>
      <c r="D775" s="83" t="s">
        <v>2633</v>
      </c>
      <c r="F775" s="103">
        <v>0</v>
      </c>
      <c r="H775" s="89">
        <v>438</v>
      </c>
      <c r="J775" s="89">
        <v>0</v>
      </c>
      <c r="K775" s="89"/>
      <c r="M775" s="80">
        <f t="shared" si="58"/>
        <v>0</v>
      </c>
      <c r="O775" s="103">
        <v>0</v>
      </c>
      <c r="Q775" s="87">
        <f t="shared" si="57"/>
        <v>0</v>
      </c>
      <c r="S775" s="103">
        <v>176</v>
      </c>
    </row>
    <row r="776" spans="1:19" x14ac:dyDescent="0.35">
      <c r="A776" s="83" t="s">
        <v>358</v>
      </c>
      <c r="D776" s="83" t="s">
        <v>1190</v>
      </c>
      <c r="F776" s="89">
        <v>14197</v>
      </c>
      <c r="H776" s="89">
        <v>15379</v>
      </c>
      <c r="J776" s="89">
        <v>14197</v>
      </c>
      <c r="K776" s="89"/>
      <c r="M776" s="80">
        <f t="shared" si="58"/>
        <v>3549.25</v>
      </c>
      <c r="O776" s="103">
        <v>0</v>
      </c>
      <c r="Q776" s="87">
        <f t="shared" si="57"/>
        <v>3549.25</v>
      </c>
      <c r="S776" s="103">
        <v>3549</v>
      </c>
    </row>
    <row r="777" spans="1:19" x14ac:dyDescent="0.35">
      <c r="A777" s="83" t="s">
        <v>359</v>
      </c>
      <c r="D777" s="83" t="s">
        <v>2658</v>
      </c>
      <c r="F777" s="103">
        <v>0</v>
      </c>
      <c r="H777" s="103">
        <v>0</v>
      </c>
      <c r="J777" s="103">
        <v>0</v>
      </c>
      <c r="K777" s="103"/>
      <c r="M777" s="80">
        <f t="shared" si="58"/>
        <v>0</v>
      </c>
      <c r="O777" s="89">
        <v>0</v>
      </c>
      <c r="Q777" s="87">
        <f t="shared" si="57"/>
        <v>0</v>
      </c>
      <c r="S777" s="103">
        <v>0</v>
      </c>
    </row>
    <row r="778" spans="1:19" ht="13.9" x14ac:dyDescent="0.4">
      <c r="B778" s="82"/>
      <c r="D778" s="88" t="s">
        <v>1194</v>
      </c>
      <c r="F778" s="90">
        <f>SUM(F750:F777)</f>
        <v>-8779</v>
      </c>
      <c r="H778" s="90">
        <f>SUM(H750:H777)</f>
        <v>-57751</v>
      </c>
      <c r="J778" s="90">
        <f>SUM(J750:J777)</f>
        <v>-8779</v>
      </c>
      <c r="K778" s="137"/>
      <c r="M778" s="90">
        <f>SUM(M750:M777)</f>
        <v>-2194.75</v>
      </c>
      <c r="O778" s="90">
        <f>SUM(O750:O777)</f>
        <v>4517</v>
      </c>
      <c r="Q778" s="91">
        <f>SUM(Q750:Q777)</f>
        <v>-6711.75</v>
      </c>
      <c r="S778" s="91">
        <f>SUM(S750:S777)</f>
        <v>6810</v>
      </c>
    </row>
    <row r="779" spans="1:19" x14ac:dyDescent="0.35">
      <c r="F779" s="92"/>
      <c r="H779" s="92"/>
      <c r="J779" s="92"/>
      <c r="K779" s="92"/>
      <c r="M779" s="92"/>
      <c r="O779" s="92"/>
      <c r="Q779" s="95"/>
      <c r="S779" s="95"/>
    </row>
    <row r="780" spans="1:19" ht="13.9" x14ac:dyDescent="0.4">
      <c r="B780" s="82"/>
      <c r="D780" s="88" t="s">
        <v>1195</v>
      </c>
      <c r="F780" s="96">
        <f>+F778+F747+F734+F715</f>
        <v>175000</v>
      </c>
      <c r="H780" s="96">
        <f>+H778+H747+H734+H715</f>
        <v>175000</v>
      </c>
      <c r="J780" s="96">
        <f>+J778+J747+J734+J715</f>
        <v>175000</v>
      </c>
      <c r="K780" s="137"/>
      <c r="M780" s="96">
        <f>+M778+M747+M734+M715</f>
        <v>43750</v>
      </c>
      <c r="O780" s="96">
        <f>+O778+O747+O734+O715</f>
        <v>40726</v>
      </c>
      <c r="Q780" s="97">
        <f>+Q778+Q747+Q734+Q715</f>
        <v>3024</v>
      </c>
      <c r="S780" s="97">
        <f>+S778+S747+S734+S715</f>
        <v>39583</v>
      </c>
    </row>
    <row r="781" spans="1:19" x14ac:dyDescent="0.35">
      <c r="F781" s="92"/>
      <c r="H781" s="92"/>
      <c r="J781" s="92"/>
      <c r="K781" s="92"/>
      <c r="M781" s="92"/>
      <c r="O781" s="92"/>
      <c r="Q781" s="95"/>
      <c r="S781" s="95"/>
    </row>
    <row r="782" spans="1:19" ht="13.9" x14ac:dyDescent="0.35">
      <c r="D782" s="82" t="s">
        <v>1209</v>
      </c>
      <c r="F782" s="92"/>
      <c r="H782" s="92"/>
      <c r="J782" s="92"/>
      <c r="K782" s="92"/>
      <c r="M782" s="92"/>
      <c r="O782" s="92"/>
      <c r="Q782" s="95"/>
      <c r="S782" s="95"/>
    </row>
    <row r="783" spans="1:19" x14ac:dyDescent="0.35">
      <c r="A783" s="83" t="s">
        <v>360</v>
      </c>
      <c r="D783" s="83" t="s">
        <v>1210</v>
      </c>
      <c r="F783" s="103">
        <v>0</v>
      </c>
      <c r="H783" s="89">
        <v>-840</v>
      </c>
      <c r="J783" s="103">
        <v>0</v>
      </c>
      <c r="K783" s="103"/>
      <c r="M783" s="80">
        <f>+J783/12*3</f>
        <v>0</v>
      </c>
      <c r="O783" s="103">
        <v>-100</v>
      </c>
      <c r="Q783" s="87">
        <f t="shared" ref="Q783:Q809" si="59">+M783-O783</f>
        <v>100</v>
      </c>
      <c r="S783" s="103">
        <v>-300</v>
      </c>
    </row>
    <row r="784" spans="1:19" x14ac:dyDescent="0.35">
      <c r="A784" s="83" t="s">
        <v>361</v>
      </c>
      <c r="D784" s="83" t="s">
        <v>1211</v>
      </c>
      <c r="F784" s="103">
        <v>0</v>
      </c>
      <c r="H784" s="89">
        <v>-240</v>
      </c>
      <c r="J784" s="103">
        <v>0</v>
      </c>
      <c r="K784" s="103"/>
      <c r="M784" s="80">
        <f t="shared" ref="M784:M809" si="60">+J784/12*3</f>
        <v>0</v>
      </c>
      <c r="O784" s="103">
        <v>-100</v>
      </c>
      <c r="Q784" s="87">
        <f t="shared" si="59"/>
        <v>100</v>
      </c>
      <c r="S784" s="103">
        <v>-240</v>
      </c>
    </row>
    <row r="785" spans="1:19" x14ac:dyDescent="0.35">
      <c r="A785" s="83"/>
      <c r="D785" s="83" t="s">
        <v>362</v>
      </c>
      <c r="F785" s="103">
        <v>0</v>
      </c>
      <c r="H785" s="89">
        <v>-964</v>
      </c>
      <c r="J785" s="103">
        <v>0</v>
      </c>
      <c r="K785" s="103"/>
      <c r="M785" s="80">
        <f t="shared" si="60"/>
        <v>0</v>
      </c>
      <c r="O785" s="103">
        <v>0</v>
      </c>
      <c r="Q785" s="87">
        <f t="shared" si="59"/>
        <v>0</v>
      </c>
      <c r="S785" s="103">
        <v>-518</v>
      </c>
    </row>
    <row r="786" spans="1:19" x14ac:dyDescent="0.35">
      <c r="A786" s="83" t="s">
        <v>363</v>
      </c>
      <c r="D786" s="83" t="s">
        <v>1212</v>
      </c>
      <c r="F786" s="103">
        <v>0</v>
      </c>
      <c r="H786" s="89">
        <v>-528</v>
      </c>
      <c r="J786" s="103">
        <v>0</v>
      </c>
      <c r="K786" s="103"/>
      <c r="M786" s="80">
        <f t="shared" si="60"/>
        <v>0</v>
      </c>
      <c r="O786" s="103">
        <v>-288</v>
      </c>
      <c r="Q786" s="87">
        <f t="shared" si="59"/>
        <v>288</v>
      </c>
      <c r="S786" s="103">
        <v>-288</v>
      </c>
    </row>
    <row r="787" spans="1:19" x14ac:dyDescent="0.35">
      <c r="A787" s="83" t="s">
        <v>364</v>
      </c>
      <c r="D787" s="83" t="s">
        <v>1213</v>
      </c>
      <c r="F787" s="89">
        <v>66616</v>
      </c>
      <c r="H787" s="89">
        <v>66616</v>
      </c>
      <c r="J787" s="89">
        <v>70147</v>
      </c>
      <c r="K787" s="89"/>
      <c r="M787" s="80">
        <f t="shared" si="60"/>
        <v>17536.75</v>
      </c>
      <c r="O787" s="103">
        <v>17537</v>
      </c>
      <c r="Q787" s="87">
        <f t="shared" si="59"/>
        <v>-0.25</v>
      </c>
      <c r="S787" s="103">
        <v>16654</v>
      </c>
    </row>
    <row r="788" spans="1:19" x14ac:dyDescent="0.35">
      <c r="A788" s="83" t="s">
        <v>365</v>
      </c>
      <c r="D788" s="83" t="s">
        <v>2666</v>
      </c>
      <c r="F788" s="89">
        <f>+F787*7.65/100</f>
        <v>5096.1239999999998</v>
      </c>
      <c r="H788" s="89">
        <f>+H787*7.65/100</f>
        <v>5096.1239999999998</v>
      </c>
      <c r="J788" s="89">
        <f>+J787*7.65/100</f>
        <v>5366.2455000000009</v>
      </c>
      <c r="K788" s="89"/>
      <c r="M788" s="80">
        <f t="shared" si="60"/>
        <v>1341.5613750000002</v>
      </c>
      <c r="O788" s="103">
        <v>1342</v>
      </c>
      <c r="Q788" s="87">
        <f t="shared" si="59"/>
        <v>-0.43862499999977445</v>
      </c>
      <c r="S788" s="103">
        <v>1274</v>
      </c>
    </row>
    <row r="789" spans="1:19" x14ac:dyDescent="0.35">
      <c r="A789" s="83" t="s">
        <v>366</v>
      </c>
      <c r="D789" s="83" t="s">
        <v>2668</v>
      </c>
      <c r="F789" s="89">
        <v>500</v>
      </c>
      <c r="H789" s="89">
        <v>500</v>
      </c>
      <c r="J789" s="89">
        <v>500</v>
      </c>
      <c r="K789" s="89"/>
      <c r="M789" s="80">
        <f t="shared" si="60"/>
        <v>125</v>
      </c>
      <c r="O789" s="103">
        <v>0</v>
      </c>
      <c r="Q789" s="87">
        <f t="shared" si="59"/>
        <v>125</v>
      </c>
      <c r="S789" s="103">
        <v>0</v>
      </c>
    </row>
    <row r="790" spans="1:19" x14ac:dyDescent="0.35">
      <c r="A790" s="83" t="s">
        <v>367</v>
      </c>
      <c r="D790" s="83" t="s">
        <v>1069</v>
      </c>
      <c r="F790" s="89">
        <v>11560</v>
      </c>
      <c r="H790" s="89">
        <v>12545</v>
      </c>
      <c r="J790" s="89">
        <v>12140</v>
      </c>
      <c r="K790" s="89"/>
      <c r="M790" s="80">
        <f t="shared" si="60"/>
        <v>3035</v>
      </c>
      <c r="O790" s="103">
        <v>3021</v>
      </c>
      <c r="Q790" s="87">
        <f t="shared" si="59"/>
        <v>14</v>
      </c>
      <c r="S790" s="103">
        <v>2889</v>
      </c>
    </row>
    <row r="791" spans="1:19" x14ac:dyDescent="0.35">
      <c r="A791" s="83" t="s">
        <v>368</v>
      </c>
      <c r="D791" s="83" t="s">
        <v>1402</v>
      </c>
      <c r="F791" s="89">
        <f>+F787*0.11</f>
        <v>7327.76</v>
      </c>
      <c r="H791" s="89">
        <f>+H787*0.11</f>
        <v>7327.76</v>
      </c>
      <c r="J791" s="89">
        <f>+J787*0.11</f>
        <v>7716.17</v>
      </c>
      <c r="K791" s="89"/>
      <c r="M791" s="80">
        <f t="shared" si="60"/>
        <v>1929.0425</v>
      </c>
      <c r="O791" s="103">
        <v>1832</v>
      </c>
      <c r="Q791" s="87">
        <f t="shared" si="59"/>
        <v>97.042500000000018</v>
      </c>
      <c r="S791" s="103">
        <v>1221</v>
      </c>
    </row>
    <row r="792" spans="1:19" hidden="1" x14ac:dyDescent="0.35">
      <c r="A792" s="83" t="s">
        <v>369</v>
      </c>
      <c r="D792" s="83" t="s">
        <v>370</v>
      </c>
      <c r="F792" s="89">
        <v>0</v>
      </c>
      <c r="H792" s="89">
        <v>0</v>
      </c>
      <c r="J792" s="89">
        <v>0</v>
      </c>
      <c r="K792" s="89"/>
      <c r="M792" s="80">
        <f t="shared" si="60"/>
        <v>0</v>
      </c>
      <c r="O792" s="103">
        <v>0</v>
      </c>
      <c r="Q792" s="87">
        <f t="shared" si="59"/>
        <v>0</v>
      </c>
      <c r="S792" s="103">
        <v>0</v>
      </c>
    </row>
    <row r="793" spans="1:19" x14ac:dyDescent="0.35">
      <c r="A793" s="83" t="s">
        <v>371</v>
      </c>
      <c r="D793" s="83" t="s">
        <v>372</v>
      </c>
      <c r="F793" s="89">
        <v>2000</v>
      </c>
      <c r="H793" s="89">
        <v>2792</v>
      </c>
      <c r="J793" s="89">
        <v>2000</v>
      </c>
      <c r="K793" s="89"/>
      <c r="M793" s="80">
        <f t="shared" si="60"/>
        <v>500</v>
      </c>
      <c r="O793" s="103">
        <v>526</v>
      </c>
      <c r="Q793" s="87">
        <f t="shared" si="59"/>
        <v>-26</v>
      </c>
      <c r="S793" s="103">
        <v>210</v>
      </c>
    </row>
    <row r="794" spans="1:19" x14ac:dyDescent="0.35">
      <c r="A794" s="83" t="s">
        <v>373</v>
      </c>
      <c r="D794" s="83" t="s">
        <v>374</v>
      </c>
      <c r="F794" s="89">
        <v>500</v>
      </c>
      <c r="H794" s="89">
        <v>355</v>
      </c>
      <c r="J794" s="89">
        <v>500</v>
      </c>
      <c r="K794" s="89"/>
      <c r="M794" s="80">
        <f t="shared" si="60"/>
        <v>125</v>
      </c>
      <c r="O794" s="103">
        <v>34</v>
      </c>
      <c r="Q794" s="87">
        <f t="shared" si="59"/>
        <v>91</v>
      </c>
      <c r="S794" s="103">
        <v>0</v>
      </c>
    </row>
    <row r="795" spans="1:19" x14ac:dyDescent="0.35">
      <c r="A795" s="83" t="s">
        <v>375</v>
      </c>
      <c r="D795" s="83" t="s">
        <v>376</v>
      </c>
      <c r="F795" s="89">
        <v>7000</v>
      </c>
      <c r="H795" s="89">
        <v>9000</v>
      </c>
      <c r="J795" s="89">
        <v>7000</v>
      </c>
      <c r="K795" s="89"/>
      <c r="M795" s="80">
        <f t="shared" si="60"/>
        <v>1750</v>
      </c>
      <c r="O795" s="103">
        <v>2560</v>
      </c>
      <c r="Q795" s="87">
        <f t="shared" si="59"/>
        <v>-810</v>
      </c>
      <c r="S795" s="103">
        <v>2200</v>
      </c>
    </row>
    <row r="796" spans="1:19" x14ac:dyDescent="0.35">
      <c r="A796" s="83" t="s">
        <v>377</v>
      </c>
      <c r="D796" s="83" t="s">
        <v>378</v>
      </c>
      <c r="F796" s="89">
        <v>500</v>
      </c>
      <c r="H796" s="89">
        <v>1230</v>
      </c>
      <c r="J796" s="89">
        <v>500</v>
      </c>
      <c r="K796" s="89"/>
      <c r="M796" s="80">
        <f t="shared" si="60"/>
        <v>125</v>
      </c>
      <c r="O796" s="103">
        <v>218</v>
      </c>
      <c r="Q796" s="87">
        <f t="shared" si="59"/>
        <v>-93</v>
      </c>
      <c r="S796" s="103">
        <v>686</v>
      </c>
    </row>
    <row r="797" spans="1:19" x14ac:dyDescent="0.35">
      <c r="A797" s="83" t="s">
        <v>379</v>
      </c>
      <c r="D797" s="83" t="s">
        <v>380</v>
      </c>
      <c r="F797" s="103">
        <v>0</v>
      </c>
      <c r="H797" s="103">
        <v>0</v>
      </c>
      <c r="J797" s="103">
        <v>0</v>
      </c>
      <c r="K797" s="103"/>
      <c r="M797" s="80">
        <f t="shared" si="60"/>
        <v>0</v>
      </c>
      <c r="O797" s="103">
        <v>0</v>
      </c>
      <c r="Q797" s="87">
        <f t="shared" si="59"/>
        <v>0</v>
      </c>
      <c r="S797" s="103">
        <v>0</v>
      </c>
    </row>
    <row r="798" spans="1:19" x14ac:dyDescent="0.35">
      <c r="A798" s="83" t="s">
        <v>381</v>
      </c>
      <c r="D798" s="83" t="s">
        <v>382</v>
      </c>
      <c r="F798" s="89">
        <v>10000</v>
      </c>
      <c r="H798" s="89">
        <v>12772</v>
      </c>
      <c r="J798" s="89">
        <v>10000</v>
      </c>
      <c r="K798" s="89"/>
      <c r="M798" s="80">
        <f t="shared" si="60"/>
        <v>2500</v>
      </c>
      <c r="O798" s="103">
        <v>1711</v>
      </c>
      <c r="Q798" s="87">
        <f t="shared" si="59"/>
        <v>789</v>
      </c>
      <c r="S798" s="103">
        <v>1971</v>
      </c>
    </row>
    <row r="799" spans="1:19" x14ac:dyDescent="0.35">
      <c r="A799" s="83" t="s">
        <v>383</v>
      </c>
      <c r="D799" s="83" t="s">
        <v>1214</v>
      </c>
      <c r="F799" s="89">
        <v>10000</v>
      </c>
      <c r="H799" s="89">
        <v>3215</v>
      </c>
      <c r="J799" s="89">
        <v>10000</v>
      </c>
      <c r="K799" s="89"/>
      <c r="M799" s="80">
        <f t="shared" si="60"/>
        <v>2500</v>
      </c>
      <c r="O799" s="103">
        <v>0</v>
      </c>
      <c r="Q799" s="87">
        <f t="shared" si="59"/>
        <v>2500</v>
      </c>
      <c r="S799" s="103">
        <v>0</v>
      </c>
    </row>
    <row r="800" spans="1:19" x14ac:dyDescent="0.35">
      <c r="A800" s="83" t="s">
        <v>384</v>
      </c>
      <c r="D800" s="83" t="s">
        <v>2627</v>
      </c>
      <c r="F800" s="89">
        <v>1000</v>
      </c>
      <c r="H800" s="103">
        <v>0</v>
      </c>
      <c r="J800" s="89">
        <v>1000</v>
      </c>
      <c r="K800" s="89"/>
      <c r="M800" s="80">
        <f t="shared" si="60"/>
        <v>250</v>
      </c>
      <c r="O800" s="103">
        <v>0</v>
      </c>
      <c r="Q800" s="87">
        <f t="shared" si="59"/>
        <v>250</v>
      </c>
      <c r="S800" s="103">
        <v>0</v>
      </c>
    </row>
    <row r="801" spans="1:19" x14ac:dyDescent="0.35">
      <c r="A801" s="83" t="s">
        <v>385</v>
      </c>
      <c r="D801" s="83" t="s">
        <v>386</v>
      </c>
      <c r="F801" s="89">
        <v>1000</v>
      </c>
      <c r="H801" s="89">
        <v>319</v>
      </c>
      <c r="J801" s="89">
        <v>1000</v>
      </c>
      <c r="K801" s="89"/>
      <c r="M801" s="80">
        <f t="shared" si="60"/>
        <v>250</v>
      </c>
      <c r="O801" s="103">
        <v>96</v>
      </c>
      <c r="Q801" s="87">
        <f t="shared" si="59"/>
        <v>154</v>
      </c>
      <c r="S801" s="103">
        <v>125</v>
      </c>
    </row>
    <row r="802" spans="1:19" hidden="1" x14ac:dyDescent="0.35">
      <c r="A802" s="83" t="s">
        <v>387</v>
      </c>
      <c r="D802" s="83" t="s">
        <v>1061</v>
      </c>
      <c r="F802" s="103">
        <v>0</v>
      </c>
      <c r="H802" s="103">
        <v>0</v>
      </c>
      <c r="J802" s="103">
        <v>0</v>
      </c>
      <c r="K802" s="103"/>
      <c r="M802" s="80">
        <f t="shared" si="60"/>
        <v>0</v>
      </c>
      <c r="O802" s="103">
        <v>0</v>
      </c>
      <c r="Q802" s="87">
        <f t="shared" si="59"/>
        <v>0</v>
      </c>
      <c r="S802" s="103">
        <v>0</v>
      </c>
    </row>
    <row r="803" spans="1:19" x14ac:dyDescent="0.35">
      <c r="A803" s="83" t="s">
        <v>388</v>
      </c>
      <c r="D803" s="83" t="s">
        <v>389</v>
      </c>
      <c r="F803" s="89">
        <v>7000</v>
      </c>
      <c r="H803" s="89">
        <v>4648</v>
      </c>
      <c r="J803" s="89">
        <v>7000</v>
      </c>
      <c r="K803" s="89"/>
      <c r="M803" s="80">
        <f t="shared" si="60"/>
        <v>1750</v>
      </c>
      <c r="O803" s="103">
        <v>743</v>
      </c>
      <c r="Q803" s="87">
        <f t="shared" si="59"/>
        <v>1007</v>
      </c>
      <c r="S803" s="103">
        <v>909</v>
      </c>
    </row>
    <row r="804" spans="1:19" hidden="1" x14ac:dyDescent="0.35">
      <c r="A804" s="83" t="s">
        <v>390</v>
      </c>
      <c r="D804" s="83" t="s">
        <v>907</v>
      </c>
      <c r="F804" s="89">
        <v>0</v>
      </c>
      <c r="H804" s="89">
        <v>0</v>
      </c>
      <c r="J804" s="89">
        <v>0</v>
      </c>
      <c r="K804" s="89"/>
      <c r="M804" s="80">
        <f t="shared" si="60"/>
        <v>0</v>
      </c>
      <c r="O804" s="103">
        <v>0</v>
      </c>
      <c r="Q804" s="87">
        <f t="shared" si="59"/>
        <v>0</v>
      </c>
      <c r="S804" s="103">
        <v>0</v>
      </c>
    </row>
    <row r="805" spans="1:19" hidden="1" x14ac:dyDescent="0.35">
      <c r="A805" s="83" t="s">
        <v>908</v>
      </c>
      <c r="D805" s="83" t="s">
        <v>909</v>
      </c>
      <c r="F805" s="89">
        <v>0</v>
      </c>
      <c r="H805" s="89">
        <v>0</v>
      </c>
      <c r="J805" s="89">
        <v>0</v>
      </c>
      <c r="K805" s="89"/>
      <c r="M805" s="80">
        <f t="shared" si="60"/>
        <v>0</v>
      </c>
      <c r="O805" s="103">
        <v>0</v>
      </c>
      <c r="Q805" s="87">
        <f t="shared" si="59"/>
        <v>0</v>
      </c>
      <c r="S805" s="103">
        <v>0</v>
      </c>
    </row>
    <row r="806" spans="1:19" x14ac:dyDescent="0.35">
      <c r="A806" s="83"/>
      <c r="D806" s="83" t="s">
        <v>910</v>
      </c>
      <c r="F806" s="89">
        <v>2000</v>
      </c>
      <c r="H806" s="89">
        <v>126</v>
      </c>
      <c r="J806" s="89">
        <v>2000</v>
      </c>
      <c r="K806" s="89"/>
      <c r="M806" s="80">
        <f t="shared" si="60"/>
        <v>500</v>
      </c>
      <c r="O806" s="103">
        <v>216</v>
      </c>
      <c r="Q806" s="87">
        <f t="shared" si="59"/>
        <v>284</v>
      </c>
      <c r="S806" s="103">
        <v>0</v>
      </c>
    </row>
    <row r="807" spans="1:19" x14ac:dyDescent="0.35">
      <c r="A807" s="83" t="s">
        <v>911</v>
      </c>
      <c r="D807" s="83" t="s">
        <v>1215</v>
      </c>
      <c r="F807" s="89">
        <v>2500</v>
      </c>
      <c r="H807" s="89">
        <v>1926</v>
      </c>
      <c r="J807" s="89">
        <v>2500</v>
      </c>
      <c r="K807" s="89"/>
      <c r="M807" s="80">
        <f t="shared" si="60"/>
        <v>625</v>
      </c>
      <c r="O807" s="103">
        <v>327</v>
      </c>
      <c r="Q807" s="87">
        <f t="shared" si="59"/>
        <v>298</v>
      </c>
      <c r="S807" s="103">
        <v>0</v>
      </c>
    </row>
    <row r="808" spans="1:19" x14ac:dyDescent="0.35">
      <c r="A808" s="83"/>
      <c r="D808" s="83" t="s">
        <v>2178</v>
      </c>
      <c r="F808" s="103">
        <v>0</v>
      </c>
      <c r="H808" s="103">
        <v>0</v>
      </c>
      <c r="J808" s="103">
        <v>0</v>
      </c>
      <c r="K808" s="103"/>
      <c r="M808" s="80">
        <f t="shared" si="60"/>
        <v>0</v>
      </c>
      <c r="O808" s="103">
        <v>6384</v>
      </c>
      <c r="Q808" s="87">
        <f t="shared" si="59"/>
        <v>-6384</v>
      </c>
      <c r="S808" s="103">
        <v>0</v>
      </c>
    </row>
    <row r="809" spans="1:19" x14ac:dyDescent="0.35">
      <c r="A809" s="83" t="s">
        <v>912</v>
      </c>
      <c r="D809" s="83" t="s">
        <v>2658</v>
      </c>
      <c r="F809" s="103">
        <v>0</v>
      </c>
      <c r="H809" s="89">
        <v>570</v>
      </c>
      <c r="J809" s="103">
        <v>0</v>
      </c>
      <c r="K809" s="103"/>
      <c r="M809" s="80">
        <f t="shared" si="60"/>
        <v>0</v>
      </c>
      <c r="O809" s="103">
        <v>0</v>
      </c>
      <c r="Q809" s="87">
        <f t="shared" si="59"/>
        <v>0</v>
      </c>
      <c r="S809" s="103">
        <v>0</v>
      </c>
    </row>
    <row r="810" spans="1:19" ht="13.9" x14ac:dyDescent="0.35">
      <c r="B810" s="83"/>
      <c r="D810" s="82" t="s">
        <v>1216</v>
      </c>
      <c r="F810" s="93">
        <f>SUM(F783:F809)</f>
        <v>134599.88399999999</v>
      </c>
      <c r="H810" s="93">
        <f>SUM(H783:H809)</f>
        <v>126465.88399999999</v>
      </c>
      <c r="J810" s="93">
        <f>SUM(J783:J809)</f>
        <v>139369.4155</v>
      </c>
      <c r="K810" s="138"/>
      <c r="M810" s="93">
        <f>SUM(M783:M809)</f>
        <v>34842.353875000001</v>
      </c>
      <c r="O810" s="93">
        <f>SUM(O783:O809)</f>
        <v>36059</v>
      </c>
      <c r="Q810" s="94">
        <f>SUM(Q783:Q809)</f>
        <v>-1216.6461249999993</v>
      </c>
      <c r="S810" s="94">
        <f>SUM(S783:S809)</f>
        <v>26793</v>
      </c>
    </row>
    <row r="811" spans="1:19" x14ac:dyDescent="0.35">
      <c r="F811" s="92"/>
      <c r="H811" s="92"/>
      <c r="J811" s="92"/>
      <c r="K811" s="92"/>
      <c r="M811" s="92"/>
      <c r="O811" s="92"/>
      <c r="Q811" s="95"/>
      <c r="S811" s="95"/>
    </row>
    <row r="812" spans="1:19" ht="13.9" x14ac:dyDescent="0.35">
      <c r="D812" s="82" t="s">
        <v>1391</v>
      </c>
      <c r="F812" s="92"/>
      <c r="H812" s="92"/>
      <c r="J812" s="92"/>
      <c r="K812" s="92"/>
      <c r="M812" s="92"/>
      <c r="O812" s="92"/>
      <c r="Q812" s="95"/>
      <c r="S812" s="95"/>
    </row>
    <row r="813" spans="1:19" hidden="1" x14ac:dyDescent="0.35">
      <c r="A813" s="83" t="s">
        <v>913</v>
      </c>
      <c r="D813" s="83" t="s">
        <v>914</v>
      </c>
      <c r="F813" s="89">
        <v>0</v>
      </c>
      <c r="H813" s="89">
        <v>0</v>
      </c>
      <c r="J813" s="89">
        <v>0</v>
      </c>
      <c r="K813" s="89"/>
      <c r="M813" s="89">
        <v>0</v>
      </c>
      <c r="O813" s="89">
        <v>0</v>
      </c>
      <c r="Q813" s="103">
        <v>0</v>
      </c>
      <c r="S813" s="103">
        <v>0</v>
      </c>
    </row>
    <row r="814" spans="1:19" hidden="1" x14ac:dyDescent="0.35">
      <c r="A814" s="83" t="s">
        <v>915</v>
      </c>
      <c r="D814" s="83" t="s">
        <v>916</v>
      </c>
      <c r="F814" s="89">
        <v>0</v>
      </c>
      <c r="H814" s="89">
        <v>0</v>
      </c>
      <c r="J814" s="89">
        <v>0</v>
      </c>
      <c r="K814" s="89"/>
      <c r="M814" s="89">
        <v>0</v>
      </c>
      <c r="O814" s="89">
        <v>0</v>
      </c>
      <c r="Q814" s="103">
        <v>0</v>
      </c>
      <c r="S814" s="103">
        <v>0</v>
      </c>
    </row>
    <row r="815" spans="1:19" hidden="1" x14ac:dyDescent="0.35">
      <c r="A815" s="83" t="s">
        <v>917</v>
      </c>
      <c r="D815" s="83" t="s">
        <v>918</v>
      </c>
      <c r="F815" s="89">
        <v>0</v>
      </c>
      <c r="H815" s="89">
        <v>0</v>
      </c>
      <c r="J815" s="89">
        <v>0</v>
      </c>
      <c r="K815" s="89"/>
      <c r="M815" s="89">
        <v>0</v>
      </c>
      <c r="O815" s="89">
        <v>0</v>
      </c>
      <c r="Q815" s="103">
        <v>0</v>
      </c>
      <c r="S815" s="103">
        <v>0</v>
      </c>
    </row>
    <row r="816" spans="1:19" hidden="1" x14ac:dyDescent="0.35">
      <c r="A816" s="83" t="s">
        <v>919</v>
      </c>
      <c r="D816" s="83" t="s">
        <v>920</v>
      </c>
      <c r="F816" s="89">
        <v>0</v>
      </c>
      <c r="H816" s="89">
        <v>0</v>
      </c>
      <c r="J816" s="89">
        <v>0</v>
      </c>
      <c r="K816" s="89"/>
      <c r="M816" s="89">
        <v>0</v>
      </c>
      <c r="O816" s="89">
        <v>0</v>
      </c>
      <c r="Q816" s="103">
        <v>0</v>
      </c>
      <c r="S816" s="103">
        <v>0</v>
      </c>
    </row>
    <row r="817" spans="1:19" x14ac:dyDescent="0.35">
      <c r="A817" s="83" t="s">
        <v>921</v>
      </c>
      <c r="D817" s="83" t="s">
        <v>1344</v>
      </c>
      <c r="F817" s="89">
        <v>1100</v>
      </c>
      <c r="H817" s="103">
        <v>0</v>
      </c>
      <c r="J817" s="89">
        <v>1100</v>
      </c>
      <c r="K817" s="89"/>
      <c r="M817" s="80">
        <f>+J817/12*3</f>
        <v>275</v>
      </c>
      <c r="O817" s="103">
        <v>0</v>
      </c>
      <c r="Q817" s="87">
        <f>+M817-O817</f>
        <v>275</v>
      </c>
      <c r="S817" s="103">
        <v>0</v>
      </c>
    </row>
    <row r="818" spans="1:19" hidden="1" x14ac:dyDescent="0.35">
      <c r="A818" s="83" t="s">
        <v>1345</v>
      </c>
      <c r="D818" s="83" t="s">
        <v>1346</v>
      </c>
      <c r="F818" s="89">
        <v>0</v>
      </c>
      <c r="H818" s="89">
        <v>0</v>
      </c>
      <c r="J818" s="89">
        <v>0</v>
      </c>
      <c r="K818" s="89"/>
      <c r="M818" s="89">
        <v>0</v>
      </c>
      <c r="O818" s="89">
        <v>0</v>
      </c>
      <c r="Q818" s="103">
        <v>0</v>
      </c>
      <c r="S818" s="103">
        <v>0</v>
      </c>
    </row>
    <row r="819" spans="1:19" hidden="1" x14ac:dyDescent="0.35">
      <c r="A819" s="83" t="s">
        <v>1347</v>
      </c>
      <c r="D819" s="83" t="s">
        <v>1348</v>
      </c>
      <c r="F819" s="89">
        <v>0</v>
      </c>
      <c r="H819" s="89">
        <v>0</v>
      </c>
      <c r="J819" s="89">
        <v>0</v>
      </c>
      <c r="K819" s="89"/>
      <c r="M819" s="89">
        <v>0</v>
      </c>
      <c r="O819" s="89">
        <v>0</v>
      </c>
      <c r="Q819" s="103">
        <v>0</v>
      </c>
      <c r="S819" s="103">
        <v>0</v>
      </c>
    </row>
    <row r="820" spans="1:19" hidden="1" x14ac:dyDescent="0.35">
      <c r="A820" s="83" t="s">
        <v>1349</v>
      </c>
      <c r="D820" s="83" t="s">
        <v>1350</v>
      </c>
      <c r="F820" s="89">
        <v>0</v>
      </c>
      <c r="H820" s="89">
        <v>0</v>
      </c>
      <c r="J820" s="89">
        <v>0</v>
      </c>
      <c r="K820" s="89"/>
      <c r="M820" s="89">
        <v>0</v>
      </c>
      <c r="O820" s="89">
        <v>0</v>
      </c>
      <c r="Q820" s="103">
        <v>0</v>
      </c>
      <c r="S820" s="103">
        <v>0</v>
      </c>
    </row>
    <row r="821" spans="1:19" ht="13.9" x14ac:dyDescent="0.4">
      <c r="B821" s="83"/>
      <c r="D821" s="88" t="s">
        <v>1217</v>
      </c>
      <c r="F821" s="93">
        <f>SUM(F813:F820)</f>
        <v>1100</v>
      </c>
      <c r="H821" s="93">
        <f>SUM(H813:H820)</f>
        <v>0</v>
      </c>
      <c r="J821" s="93">
        <f>SUM(J813:J820)</f>
        <v>1100</v>
      </c>
      <c r="K821" s="138"/>
      <c r="M821" s="93">
        <f>SUM(M813:M820)</f>
        <v>275</v>
      </c>
      <c r="O821" s="93">
        <f>SUM(O813:O820)</f>
        <v>0</v>
      </c>
      <c r="Q821" s="94">
        <f>SUM(Q813:Q820)</f>
        <v>275</v>
      </c>
      <c r="S821" s="94">
        <f>SUM(S813:S820)</f>
        <v>0</v>
      </c>
    </row>
    <row r="822" spans="1:19" x14ac:dyDescent="0.35">
      <c r="F822" s="92"/>
      <c r="H822" s="92"/>
      <c r="J822" s="92"/>
      <c r="K822" s="92"/>
      <c r="M822" s="92"/>
      <c r="O822" s="92"/>
      <c r="Q822" s="95"/>
      <c r="S822" s="95"/>
    </row>
    <row r="823" spans="1:19" ht="13.9" x14ac:dyDescent="0.35">
      <c r="D823" s="82" t="s">
        <v>1218</v>
      </c>
      <c r="F823" s="92"/>
      <c r="H823" s="92"/>
      <c r="J823" s="92"/>
      <c r="K823" s="92"/>
      <c r="M823" s="92"/>
      <c r="O823" s="92"/>
      <c r="Q823" s="95"/>
      <c r="S823" s="95"/>
    </row>
    <row r="824" spans="1:19" x14ac:dyDescent="0.35">
      <c r="A824" s="83" t="s">
        <v>1351</v>
      </c>
      <c r="D824" s="83" t="s">
        <v>1219</v>
      </c>
      <c r="F824" s="103">
        <v>0</v>
      </c>
      <c r="H824" s="89">
        <v>-1300</v>
      </c>
      <c r="J824" s="103">
        <v>0</v>
      </c>
      <c r="K824" s="103"/>
      <c r="M824" s="80">
        <f>+J824/12*3</f>
        <v>0</v>
      </c>
      <c r="O824" s="103">
        <v>-200</v>
      </c>
      <c r="Q824" s="87">
        <f t="shared" ref="Q824:Q848" si="61">+M824-O824</f>
        <v>200</v>
      </c>
      <c r="S824" s="103">
        <v>0</v>
      </c>
    </row>
    <row r="825" spans="1:19" x14ac:dyDescent="0.35">
      <c r="A825" s="83" t="s">
        <v>1352</v>
      </c>
      <c r="D825" s="83" t="s">
        <v>1220</v>
      </c>
      <c r="F825" s="103">
        <v>0</v>
      </c>
      <c r="H825" s="89">
        <v>-131309</v>
      </c>
      <c r="J825" s="103">
        <v>0</v>
      </c>
      <c r="K825" s="103"/>
      <c r="M825" s="80">
        <f t="shared" ref="M825:M848" si="62">+J825/12*3</f>
        <v>0</v>
      </c>
      <c r="O825" s="103">
        <v>0</v>
      </c>
      <c r="Q825" s="87">
        <f t="shared" si="61"/>
        <v>0</v>
      </c>
      <c r="S825" s="103">
        <v>-16631</v>
      </c>
    </row>
    <row r="826" spans="1:19" x14ac:dyDescent="0.35">
      <c r="A826" s="83" t="s">
        <v>1353</v>
      </c>
      <c r="D826" s="83" t="s">
        <v>1354</v>
      </c>
      <c r="F826" s="103">
        <v>0</v>
      </c>
      <c r="H826" s="89">
        <v>-316</v>
      </c>
      <c r="J826" s="103">
        <v>0</v>
      </c>
      <c r="K826" s="103"/>
      <c r="M826" s="80">
        <f t="shared" si="62"/>
        <v>0</v>
      </c>
      <c r="O826" s="103">
        <v>0</v>
      </c>
      <c r="Q826" s="87">
        <f t="shared" si="61"/>
        <v>0</v>
      </c>
      <c r="S826" s="103">
        <v>-316</v>
      </c>
    </row>
    <row r="827" spans="1:19" x14ac:dyDescent="0.35">
      <c r="A827" s="83" t="s">
        <v>1355</v>
      </c>
      <c r="D827" s="83" t="s">
        <v>487</v>
      </c>
      <c r="F827" s="103">
        <v>0</v>
      </c>
      <c r="H827" s="89">
        <v>0</v>
      </c>
      <c r="J827" s="103">
        <v>0</v>
      </c>
      <c r="K827" s="103"/>
      <c r="M827" s="80">
        <f t="shared" si="62"/>
        <v>0</v>
      </c>
      <c r="O827" s="103">
        <v>0</v>
      </c>
      <c r="Q827" s="87">
        <f t="shared" si="61"/>
        <v>0</v>
      </c>
      <c r="S827" s="103">
        <v>0</v>
      </c>
    </row>
    <row r="828" spans="1:19" x14ac:dyDescent="0.35">
      <c r="A828" s="83"/>
      <c r="D828" s="83" t="s">
        <v>1356</v>
      </c>
      <c r="F828" s="103">
        <v>0</v>
      </c>
      <c r="H828" s="89">
        <v>-25200</v>
      </c>
      <c r="J828" s="103">
        <v>0</v>
      </c>
      <c r="K828" s="103"/>
      <c r="M828" s="80">
        <f t="shared" si="62"/>
        <v>0</v>
      </c>
      <c r="O828" s="103">
        <v>0</v>
      </c>
      <c r="Q828" s="87">
        <f t="shared" si="61"/>
        <v>0</v>
      </c>
      <c r="S828" s="103">
        <v>500</v>
      </c>
    </row>
    <row r="829" spans="1:19" x14ac:dyDescent="0.35">
      <c r="A829" s="83" t="s">
        <v>1357</v>
      </c>
      <c r="D829" s="83" t="s">
        <v>2694</v>
      </c>
      <c r="F829" s="103">
        <v>0</v>
      </c>
      <c r="H829" s="89">
        <v>0</v>
      </c>
      <c r="J829" s="103">
        <v>0</v>
      </c>
      <c r="K829" s="103"/>
      <c r="M829" s="80">
        <f t="shared" si="62"/>
        <v>0</v>
      </c>
      <c r="O829" s="103">
        <v>0</v>
      </c>
      <c r="Q829" s="87">
        <f t="shared" si="61"/>
        <v>0</v>
      </c>
      <c r="S829" s="103">
        <v>0</v>
      </c>
    </row>
    <row r="830" spans="1:19" x14ac:dyDescent="0.35">
      <c r="A830" s="83" t="s">
        <v>1358</v>
      </c>
      <c r="D830" s="83" t="s">
        <v>1221</v>
      </c>
      <c r="F830" s="103">
        <v>0</v>
      </c>
      <c r="H830" s="89">
        <v>-400</v>
      </c>
      <c r="J830" s="103">
        <v>0</v>
      </c>
      <c r="K830" s="103"/>
      <c r="M830" s="80">
        <f t="shared" si="62"/>
        <v>0</v>
      </c>
      <c r="O830" s="103">
        <v>0</v>
      </c>
      <c r="Q830" s="87">
        <f t="shared" si="61"/>
        <v>0</v>
      </c>
      <c r="S830" s="103">
        <v>-10</v>
      </c>
    </row>
    <row r="831" spans="1:19" x14ac:dyDescent="0.35">
      <c r="A831" s="83" t="s">
        <v>1359</v>
      </c>
      <c r="D831" s="83" t="s">
        <v>1045</v>
      </c>
      <c r="F831" s="103">
        <v>0</v>
      </c>
      <c r="H831" s="89">
        <v>-1074</v>
      </c>
      <c r="J831" s="103">
        <v>0</v>
      </c>
      <c r="K831" s="103"/>
      <c r="M831" s="80">
        <f t="shared" si="62"/>
        <v>0</v>
      </c>
      <c r="O831" s="103">
        <v>0</v>
      </c>
      <c r="Q831" s="87">
        <f t="shared" si="61"/>
        <v>0</v>
      </c>
      <c r="S831" s="103">
        <v>0</v>
      </c>
    </row>
    <row r="832" spans="1:19" hidden="1" x14ac:dyDescent="0.35">
      <c r="A832" s="83" t="s">
        <v>1360</v>
      </c>
      <c r="D832" s="83" t="s">
        <v>1361</v>
      </c>
      <c r="F832" s="89">
        <v>0</v>
      </c>
      <c r="H832" s="89">
        <v>0</v>
      </c>
      <c r="J832" s="89">
        <v>0</v>
      </c>
      <c r="K832" s="89"/>
      <c r="M832" s="80">
        <f t="shared" si="62"/>
        <v>0</v>
      </c>
      <c r="O832" s="103">
        <v>0</v>
      </c>
      <c r="Q832" s="87">
        <f t="shared" si="61"/>
        <v>0</v>
      </c>
      <c r="S832" s="103">
        <v>0</v>
      </c>
    </row>
    <row r="833" spans="1:19" x14ac:dyDescent="0.35">
      <c r="A833" s="83" t="s">
        <v>1362</v>
      </c>
      <c r="D833" s="83" t="s">
        <v>2617</v>
      </c>
      <c r="F833" s="103">
        <v>0</v>
      </c>
      <c r="H833" s="103">
        <v>0</v>
      </c>
      <c r="J833" s="103">
        <v>0</v>
      </c>
      <c r="K833" s="103"/>
      <c r="M833" s="80">
        <f t="shared" si="62"/>
        <v>0</v>
      </c>
      <c r="O833" s="103">
        <v>0</v>
      </c>
      <c r="Q833" s="87">
        <f t="shared" si="61"/>
        <v>0</v>
      </c>
      <c r="S833" s="103">
        <v>143</v>
      </c>
    </row>
    <row r="834" spans="1:19" x14ac:dyDescent="0.35">
      <c r="A834" s="83" t="s">
        <v>1363</v>
      </c>
      <c r="D834" s="83" t="s">
        <v>2619</v>
      </c>
      <c r="F834" s="103">
        <v>0</v>
      </c>
      <c r="H834" s="103">
        <v>0</v>
      </c>
      <c r="J834" s="103">
        <v>0</v>
      </c>
      <c r="K834" s="103"/>
      <c r="M834" s="80">
        <f t="shared" si="62"/>
        <v>0</v>
      </c>
      <c r="O834" s="103">
        <v>0</v>
      </c>
      <c r="Q834" s="87">
        <f t="shared" si="61"/>
        <v>0</v>
      </c>
      <c r="S834" s="103">
        <v>0</v>
      </c>
    </row>
    <row r="835" spans="1:19" x14ac:dyDescent="0.35">
      <c r="A835" s="83" t="s">
        <v>922</v>
      </c>
      <c r="D835" s="83" t="s">
        <v>2623</v>
      </c>
      <c r="F835" s="103">
        <v>0</v>
      </c>
      <c r="H835" s="103">
        <v>0</v>
      </c>
      <c r="J835" s="103">
        <v>0</v>
      </c>
      <c r="K835" s="103"/>
      <c r="M835" s="80">
        <f t="shared" si="62"/>
        <v>0</v>
      </c>
      <c r="O835" s="103">
        <v>0</v>
      </c>
      <c r="Q835" s="87">
        <f t="shared" si="61"/>
        <v>0</v>
      </c>
      <c r="S835" s="103">
        <v>397</v>
      </c>
    </row>
    <row r="836" spans="1:19" x14ac:dyDescent="0.35">
      <c r="A836" s="83" t="s">
        <v>923</v>
      </c>
      <c r="D836" s="83" t="s">
        <v>2625</v>
      </c>
      <c r="F836" s="103">
        <v>0</v>
      </c>
      <c r="H836" s="103">
        <v>0</v>
      </c>
      <c r="J836" s="103">
        <v>0</v>
      </c>
      <c r="K836" s="103"/>
      <c r="M836" s="80">
        <f t="shared" si="62"/>
        <v>0</v>
      </c>
      <c r="O836" s="103">
        <v>0</v>
      </c>
      <c r="Q836" s="87">
        <f t="shared" si="61"/>
        <v>0</v>
      </c>
      <c r="S836" s="103">
        <v>0</v>
      </c>
    </row>
    <row r="837" spans="1:19" hidden="1" x14ac:dyDescent="0.35">
      <c r="A837" s="83" t="s">
        <v>924</v>
      </c>
      <c r="D837" s="83" t="s">
        <v>925</v>
      </c>
      <c r="F837" s="89">
        <v>0</v>
      </c>
      <c r="H837" s="89">
        <v>0</v>
      </c>
      <c r="J837" s="89">
        <v>0</v>
      </c>
      <c r="K837" s="89"/>
      <c r="M837" s="80">
        <f t="shared" si="62"/>
        <v>0</v>
      </c>
      <c r="O837" s="103">
        <v>0</v>
      </c>
      <c r="Q837" s="87">
        <f t="shared" si="61"/>
        <v>0</v>
      </c>
      <c r="S837" s="103">
        <v>0</v>
      </c>
    </row>
    <row r="838" spans="1:19" x14ac:dyDescent="0.35">
      <c r="A838" s="83" t="s">
        <v>926</v>
      </c>
      <c r="D838" s="83" t="s">
        <v>2179</v>
      </c>
      <c r="F838" s="89">
        <v>22500</v>
      </c>
      <c r="H838" s="89">
        <v>257416</v>
      </c>
      <c r="J838" s="89">
        <v>22500</v>
      </c>
      <c r="K838" s="89"/>
      <c r="M838" s="80">
        <f t="shared" si="62"/>
        <v>5625</v>
      </c>
      <c r="O838" s="103">
        <v>41750</v>
      </c>
      <c r="Q838" s="87">
        <f t="shared" si="61"/>
        <v>-36125</v>
      </c>
      <c r="S838" s="103">
        <v>0</v>
      </c>
    </row>
    <row r="839" spans="1:19" hidden="1" x14ac:dyDescent="0.35">
      <c r="A839" s="83" t="s">
        <v>927</v>
      </c>
      <c r="D839" s="83" t="s">
        <v>928</v>
      </c>
      <c r="F839" s="89">
        <v>0</v>
      </c>
      <c r="H839" s="89">
        <v>0</v>
      </c>
      <c r="J839" s="89">
        <v>0</v>
      </c>
      <c r="K839" s="89"/>
      <c r="M839" s="80">
        <f t="shared" si="62"/>
        <v>0</v>
      </c>
      <c r="O839" s="103">
        <v>0</v>
      </c>
      <c r="Q839" s="87">
        <f t="shared" si="61"/>
        <v>0</v>
      </c>
      <c r="S839" s="103">
        <v>0</v>
      </c>
    </row>
    <row r="840" spans="1:19" hidden="1" x14ac:dyDescent="0.35">
      <c r="A840" s="83" t="s">
        <v>929</v>
      </c>
      <c r="D840" s="83" t="s">
        <v>930</v>
      </c>
      <c r="F840" s="89">
        <v>0</v>
      </c>
      <c r="H840" s="89">
        <v>0</v>
      </c>
      <c r="J840" s="89">
        <v>0</v>
      </c>
      <c r="K840" s="89"/>
      <c r="M840" s="80">
        <f t="shared" si="62"/>
        <v>0</v>
      </c>
      <c r="O840" s="103">
        <v>0</v>
      </c>
      <c r="Q840" s="87">
        <f t="shared" si="61"/>
        <v>0</v>
      </c>
      <c r="S840" s="103">
        <v>0</v>
      </c>
    </row>
    <row r="841" spans="1:19" hidden="1" x14ac:dyDescent="0.35">
      <c r="A841" s="83" t="s">
        <v>931</v>
      </c>
      <c r="D841" s="83" t="s">
        <v>932</v>
      </c>
      <c r="F841" s="89">
        <v>0</v>
      </c>
      <c r="H841" s="89">
        <v>0</v>
      </c>
      <c r="J841" s="89">
        <v>0</v>
      </c>
      <c r="K841" s="89"/>
      <c r="M841" s="80">
        <f t="shared" si="62"/>
        <v>0</v>
      </c>
      <c r="O841" s="103">
        <v>0</v>
      </c>
      <c r="Q841" s="87">
        <f t="shared" si="61"/>
        <v>0</v>
      </c>
      <c r="S841" s="103">
        <v>0</v>
      </c>
    </row>
    <row r="842" spans="1:19" x14ac:dyDescent="0.35">
      <c r="A842" s="83" t="s">
        <v>933</v>
      </c>
      <c r="D842" s="83" t="s">
        <v>1222</v>
      </c>
      <c r="F842" s="103">
        <v>0</v>
      </c>
      <c r="H842" s="89">
        <v>958</v>
      </c>
      <c r="J842" s="103">
        <v>0</v>
      </c>
      <c r="K842" s="103"/>
      <c r="M842" s="80">
        <f t="shared" si="62"/>
        <v>0</v>
      </c>
      <c r="O842" s="103">
        <v>0</v>
      </c>
      <c r="Q842" s="87">
        <f t="shared" si="61"/>
        <v>0</v>
      </c>
      <c r="S842" s="103">
        <v>0</v>
      </c>
    </row>
    <row r="843" spans="1:19" x14ac:dyDescent="0.35">
      <c r="A843" s="83" t="s">
        <v>934</v>
      </c>
      <c r="D843" s="83" t="s">
        <v>1223</v>
      </c>
      <c r="F843" s="103">
        <v>0</v>
      </c>
      <c r="H843" s="89">
        <v>-2500</v>
      </c>
      <c r="J843" s="103">
        <v>0</v>
      </c>
      <c r="K843" s="103"/>
      <c r="M843" s="80">
        <f t="shared" si="62"/>
        <v>0</v>
      </c>
      <c r="O843" s="103">
        <v>0</v>
      </c>
      <c r="Q843" s="87">
        <f t="shared" si="61"/>
        <v>0</v>
      </c>
      <c r="S843" s="103">
        <v>0</v>
      </c>
    </row>
    <row r="844" spans="1:19" x14ac:dyDescent="0.35">
      <c r="A844" s="83"/>
      <c r="D844" s="83" t="s">
        <v>2165</v>
      </c>
      <c r="F844" s="103">
        <v>0</v>
      </c>
      <c r="H844" s="103">
        <v>0</v>
      </c>
      <c r="J844" s="103">
        <v>0</v>
      </c>
      <c r="K844" s="103"/>
      <c r="M844" s="80">
        <f t="shared" si="62"/>
        <v>0</v>
      </c>
      <c r="O844" s="103">
        <v>7200</v>
      </c>
      <c r="Q844" s="87">
        <f t="shared" si="61"/>
        <v>-7200</v>
      </c>
      <c r="S844" s="103">
        <v>5850</v>
      </c>
    </row>
    <row r="845" spans="1:19" x14ac:dyDescent="0.35">
      <c r="A845" s="83"/>
      <c r="D845" s="83" t="s">
        <v>2166</v>
      </c>
      <c r="F845" s="103">
        <v>0</v>
      </c>
      <c r="H845" s="103">
        <v>0</v>
      </c>
      <c r="J845" s="103">
        <v>0</v>
      </c>
      <c r="K845" s="103"/>
      <c r="M845" s="80">
        <f t="shared" si="62"/>
        <v>0</v>
      </c>
      <c r="O845" s="103">
        <v>0</v>
      </c>
      <c r="Q845" s="87">
        <f t="shared" si="61"/>
        <v>0</v>
      </c>
      <c r="S845" s="103">
        <v>0</v>
      </c>
    </row>
    <row r="846" spans="1:19" x14ac:dyDescent="0.35">
      <c r="A846" s="83"/>
      <c r="D846" s="83" t="s">
        <v>2167</v>
      </c>
      <c r="F846" s="103">
        <v>0</v>
      </c>
      <c r="H846" s="103">
        <v>0</v>
      </c>
      <c r="J846" s="103">
        <v>0</v>
      </c>
      <c r="K846" s="103"/>
      <c r="M846" s="80">
        <f t="shared" si="62"/>
        <v>0</v>
      </c>
      <c r="O846" s="103">
        <v>0</v>
      </c>
      <c r="Q846" s="87">
        <f t="shared" si="61"/>
        <v>0</v>
      </c>
      <c r="S846" s="103">
        <v>0</v>
      </c>
    </row>
    <row r="847" spans="1:19" x14ac:dyDescent="0.35">
      <c r="A847" s="83" t="s">
        <v>935</v>
      </c>
      <c r="D847" s="83" t="s">
        <v>1224</v>
      </c>
      <c r="F847" s="103">
        <v>0</v>
      </c>
      <c r="H847" s="89">
        <v>3695</v>
      </c>
      <c r="J847" s="103">
        <v>0</v>
      </c>
      <c r="K847" s="103"/>
      <c r="M847" s="80">
        <f t="shared" si="62"/>
        <v>0</v>
      </c>
      <c r="O847" s="103">
        <v>0</v>
      </c>
      <c r="Q847" s="87">
        <f t="shared" si="61"/>
        <v>0</v>
      </c>
      <c r="S847" s="103">
        <v>313</v>
      </c>
    </row>
    <row r="848" spans="1:19" x14ac:dyDescent="0.35">
      <c r="A848" s="83" t="s">
        <v>936</v>
      </c>
      <c r="D848" s="83" t="s">
        <v>2168</v>
      </c>
      <c r="F848" s="103">
        <v>0</v>
      </c>
      <c r="H848" s="89">
        <v>-324</v>
      </c>
      <c r="J848" s="103">
        <v>0</v>
      </c>
      <c r="K848" s="103"/>
      <c r="M848" s="80">
        <f t="shared" si="62"/>
        <v>0</v>
      </c>
      <c r="O848" s="103">
        <v>0</v>
      </c>
      <c r="Q848" s="87">
        <f t="shared" si="61"/>
        <v>0</v>
      </c>
      <c r="S848" s="103">
        <v>0</v>
      </c>
    </row>
    <row r="849" spans="1:19" ht="13.9" x14ac:dyDescent="0.4">
      <c r="B849" s="83"/>
      <c r="D849" s="88" t="s">
        <v>1225</v>
      </c>
      <c r="F849" s="93">
        <f>SUM(F824:F848)</f>
        <v>22500</v>
      </c>
      <c r="H849" s="93">
        <f>SUM(H824:H848)</f>
        <v>99646</v>
      </c>
      <c r="J849" s="93">
        <f>SUM(J824:J848)</f>
        <v>22500</v>
      </c>
      <c r="K849" s="138"/>
      <c r="M849" s="93">
        <f>SUM(M824:M848)</f>
        <v>5625</v>
      </c>
      <c r="O849" s="94">
        <f>SUM(O824:O848)</f>
        <v>48750</v>
      </c>
      <c r="Q849" s="94">
        <f>SUM(Q824:Q848)</f>
        <v>-43125</v>
      </c>
      <c r="S849" s="94">
        <f>SUM(S824:S848)</f>
        <v>-9754</v>
      </c>
    </row>
    <row r="850" spans="1:19" x14ac:dyDescent="0.35">
      <c r="F850" s="92"/>
      <c r="H850" s="92"/>
      <c r="J850" s="92"/>
      <c r="K850" s="92"/>
      <c r="M850" s="92"/>
      <c r="O850" s="92"/>
      <c r="Q850" s="95"/>
      <c r="S850" s="95"/>
    </row>
    <row r="851" spans="1:19" ht="13.9" x14ac:dyDescent="0.35">
      <c r="D851" s="82" t="s">
        <v>1392</v>
      </c>
      <c r="F851" s="92"/>
      <c r="H851" s="92"/>
      <c r="J851" s="92"/>
      <c r="K851" s="92"/>
      <c r="M851" s="92"/>
      <c r="O851" s="92"/>
      <c r="Q851" s="95"/>
      <c r="S851" s="95"/>
    </row>
    <row r="852" spans="1:19" hidden="1" x14ac:dyDescent="0.35">
      <c r="A852" s="83" t="s">
        <v>937</v>
      </c>
      <c r="D852" s="83" t="s">
        <v>938</v>
      </c>
      <c r="F852" s="89">
        <v>0</v>
      </c>
      <c r="H852" s="89">
        <v>0</v>
      </c>
      <c r="J852" s="89">
        <v>0</v>
      </c>
      <c r="K852" s="89"/>
      <c r="M852" s="89">
        <v>0</v>
      </c>
      <c r="O852" s="89">
        <v>0</v>
      </c>
      <c r="Q852" s="103">
        <v>0</v>
      </c>
      <c r="S852" s="103">
        <v>0</v>
      </c>
    </row>
    <row r="853" spans="1:19" hidden="1" x14ac:dyDescent="0.35">
      <c r="A853" s="83" t="s">
        <v>939</v>
      </c>
      <c r="D853" s="83" t="s">
        <v>940</v>
      </c>
      <c r="F853" s="89">
        <v>0</v>
      </c>
      <c r="H853" s="89">
        <v>0</v>
      </c>
      <c r="J853" s="89">
        <v>0</v>
      </c>
      <c r="K853" s="89"/>
      <c r="M853" s="89">
        <v>0</v>
      </c>
      <c r="O853" s="89">
        <v>0</v>
      </c>
      <c r="Q853" s="103">
        <v>0</v>
      </c>
      <c r="S853" s="103">
        <v>0</v>
      </c>
    </row>
    <row r="854" spans="1:19" x14ac:dyDescent="0.35">
      <c r="A854" s="83"/>
      <c r="D854" s="83" t="s">
        <v>486</v>
      </c>
      <c r="F854" s="103">
        <v>0</v>
      </c>
      <c r="H854" s="103">
        <v>0</v>
      </c>
      <c r="J854" s="103">
        <v>0</v>
      </c>
      <c r="K854" s="103"/>
      <c r="M854" s="80">
        <f>+J854/12*3</f>
        <v>0</v>
      </c>
      <c r="O854" s="103">
        <v>1500</v>
      </c>
      <c r="Q854" s="87">
        <f>+M854-O854</f>
        <v>-1500</v>
      </c>
      <c r="S854" s="103">
        <v>0</v>
      </c>
    </row>
    <row r="855" spans="1:19" x14ac:dyDescent="0.35">
      <c r="A855" s="83" t="s">
        <v>941</v>
      </c>
      <c r="D855" s="83" t="s">
        <v>2619</v>
      </c>
      <c r="F855" s="103">
        <v>0</v>
      </c>
      <c r="H855" s="89">
        <v>510</v>
      </c>
      <c r="J855" s="103">
        <v>0</v>
      </c>
      <c r="K855" s="103"/>
      <c r="M855" s="80">
        <f t="shared" ref="M855:M860" si="63">+J855/12*3</f>
        <v>0</v>
      </c>
      <c r="O855" s="103">
        <v>0</v>
      </c>
      <c r="Q855" s="87">
        <f t="shared" ref="Q855:Q860" si="64">+M855-O855</f>
        <v>0</v>
      </c>
      <c r="S855" s="103">
        <v>0</v>
      </c>
    </row>
    <row r="856" spans="1:19" x14ac:dyDescent="0.35">
      <c r="A856" s="83" t="s">
        <v>942</v>
      </c>
      <c r="D856" s="83" t="s">
        <v>2623</v>
      </c>
      <c r="F856" s="89">
        <v>1500</v>
      </c>
      <c r="H856" s="103">
        <v>0</v>
      </c>
      <c r="J856" s="89">
        <v>1500</v>
      </c>
      <c r="K856" s="89"/>
      <c r="M856" s="80">
        <f t="shared" si="63"/>
        <v>375</v>
      </c>
      <c r="O856" s="103">
        <v>0</v>
      </c>
      <c r="Q856" s="87">
        <f t="shared" si="64"/>
        <v>375</v>
      </c>
      <c r="S856" s="103">
        <v>0</v>
      </c>
    </row>
    <row r="857" spans="1:19" hidden="1" x14ac:dyDescent="0.35">
      <c r="A857" s="83" t="s">
        <v>943</v>
      </c>
      <c r="D857" s="83" t="s">
        <v>2625</v>
      </c>
      <c r="F857" s="103">
        <v>0</v>
      </c>
      <c r="H857" s="103">
        <v>0</v>
      </c>
      <c r="J857" s="103">
        <v>0</v>
      </c>
      <c r="K857" s="103"/>
      <c r="M857" s="80">
        <f t="shared" si="63"/>
        <v>0</v>
      </c>
      <c r="O857" s="103">
        <v>0</v>
      </c>
      <c r="Q857" s="87">
        <f t="shared" si="64"/>
        <v>0</v>
      </c>
      <c r="S857" s="103">
        <v>0</v>
      </c>
    </row>
    <row r="858" spans="1:19" hidden="1" x14ac:dyDescent="0.35">
      <c r="A858" s="83" t="s">
        <v>944</v>
      </c>
      <c r="D858" s="83" t="s">
        <v>1046</v>
      </c>
      <c r="F858" s="103">
        <v>0</v>
      </c>
      <c r="H858" s="103">
        <v>0</v>
      </c>
      <c r="J858" s="103">
        <v>0</v>
      </c>
      <c r="K858" s="103"/>
      <c r="M858" s="80">
        <f t="shared" si="63"/>
        <v>0</v>
      </c>
      <c r="O858" s="103">
        <v>0</v>
      </c>
      <c r="Q858" s="87">
        <f t="shared" si="64"/>
        <v>0</v>
      </c>
      <c r="S858" s="103">
        <v>0</v>
      </c>
    </row>
    <row r="859" spans="1:19" hidden="1" x14ac:dyDescent="0.35">
      <c r="A859" s="83" t="s">
        <v>945</v>
      </c>
      <c r="D859" s="83" t="s">
        <v>946</v>
      </c>
      <c r="F859" s="89">
        <v>0</v>
      </c>
      <c r="H859" s="89">
        <v>0</v>
      </c>
      <c r="J859" s="89">
        <v>0</v>
      </c>
      <c r="K859" s="89"/>
      <c r="M859" s="80">
        <f t="shared" si="63"/>
        <v>0</v>
      </c>
      <c r="O859" s="103">
        <v>0</v>
      </c>
      <c r="Q859" s="87">
        <f t="shared" si="64"/>
        <v>0</v>
      </c>
      <c r="S859" s="103">
        <v>0</v>
      </c>
    </row>
    <row r="860" spans="1:19" x14ac:dyDescent="0.35">
      <c r="A860" s="83" t="s">
        <v>947</v>
      </c>
      <c r="D860" s="83" t="s">
        <v>2655</v>
      </c>
      <c r="F860" s="89">
        <v>300</v>
      </c>
      <c r="H860" s="103">
        <v>0</v>
      </c>
      <c r="J860" s="89">
        <v>300</v>
      </c>
      <c r="K860" s="89"/>
      <c r="M860" s="80">
        <f t="shared" si="63"/>
        <v>75</v>
      </c>
      <c r="O860" s="103">
        <v>0</v>
      </c>
      <c r="Q860" s="87">
        <f t="shared" si="64"/>
        <v>75</v>
      </c>
      <c r="S860" s="103">
        <v>0</v>
      </c>
    </row>
    <row r="861" spans="1:19" ht="13.9" x14ac:dyDescent="0.4">
      <c r="B861" s="83"/>
      <c r="D861" s="88" t="s">
        <v>1226</v>
      </c>
      <c r="F861" s="93">
        <f>SUM(F852:F860)</f>
        <v>1800</v>
      </c>
      <c r="H861" s="93">
        <f>SUM(H852:H860)</f>
        <v>510</v>
      </c>
      <c r="J861" s="93">
        <f>SUM(J852:J860)</f>
        <v>1800</v>
      </c>
      <c r="K861" s="138"/>
      <c r="M861" s="93">
        <f>SUM(M852:M860)</f>
        <v>450</v>
      </c>
      <c r="O861" s="94">
        <f>SUM(O852:O860)</f>
        <v>1500</v>
      </c>
      <c r="Q861" s="94">
        <f>SUM(Q852:Q860)</f>
        <v>-1050</v>
      </c>
      <c r="S861" s="94">
        <f>SUM(S852:S860)</f>
        <v>0</v>
      </c>
    </row>
    <row r="862" spans="1:19" x14ac:dyDescent="0.35">
      <c r="F862" s="92"/>
      <c r="H862" s="92"/>
      <c r="J862" s="92"/>
      <c r="K862" s="92"/>
      <c r="M862" s="92"/>
      <c r="O862" s="92"/>
      <c r="Q862" s="95"/>
      <c r="S862" s="95"/>
    </row>
    <row r="863" spans="1:19" ht="13.9" x14ac:dyDescent="0.35">
      <c r="D863" s="82" t="s">
        <v>948</v>
      </c>
      <c r="F863" s="92"/>
      <c r="H863" s="92"/>
      <c r="J863" s="92"/>
      <c r="K863" s="92"/>
      <c r="M863" s="92"/>
      <c r="O863" s="92"/>
      <c r="Q863" s="95"/>
      <c r="S863" s="95"/>
    </row>
    <row r="864" spans="1:19" x14ac:dyDescent="0.35">
      <c r="A864" s="83" t="s">
        <v>949</v>
      </c>
      <c r="D864" s="83" t="s">
        <v>1045</v>
      </c>
      <c r="F864" s="103">
        <v>0</v>
      </c>
      <c r="H864" s="89">
        <v>-328</v>
      </c>
      <c r="J864" s="103">
        <v>0</v>
      </c>
      <c r="K864" s="103"/>
      <c r="M864" s="80">
        <f>+J864/12*3</f>
        <v>0</v>
      </c>
      <c r="O864" s="103">
        <v>0</v>
      </c>
      <c r="Q864" s="87">
        <f t="shared" ref="Q864:Q874" si="65">+M864-O864</f>
        <v>0</v>
      </c>
      <c r="S864" s="103">
        <v>0</v>
      </c>
    </row>
    <row r="865" spans="1:19" hidden="1" x14ac:dyDescent="0.35">
      <c r="A865" s="83" t="s">
        <v>950</v>
      </c>
      <c r="D865" s="83" t="s">
        <v>1208</v>
      </c>
      <c r="F865" s="103">
        <v>0</v>
      </c>
      <c r="H865" s="103">
        <v>0</v>
      </c>
      <c r="J865" s="103">
        <v>0</v>
      </c>
      <c r="K865" s="103"/>
      <c r="M865" s="80">
        <f t="shared" ref="M865:M874" si="66">+J865/12*3</f>
        <v>0</v>
      </c>
      <c r="O865" s="103">
        <v>0</v>
      </c>
      <c r="Q865" s="87">
        <f t="shared" si="65"/>
        <v>0</v>
      </c>
      <c r="S865" s="103">
        <v>0</v>
      </c>
    </row>
    <row r="866" spans="1:19" x14ac:dyDescent="0.35">
      <c r="A866" s="83" t="s">
        <v>951</v>
      </c>
      <c r="D866" s="83" t="s">
        <v>2617</v>
      </c>
      <c r="F866" s="103">
        <v>0</v>
      </c>
      <c r="H866" s="89">
        <v>141</v>
      </c>
      <c r="J866" s="103">
        <v>0</v>
      </c>
      <c r="K866" s="103"/>
      <c r="M866" s="80">
        <f t="shared" si="66"/>
        <v>0</v>
      </c>
      <c r="O866" s="103">
        <v>0</v>
      </c>
      <c r="Q866" s="87">
        <f t="shared" si="65"/>
        <v>0</v>
      </c>
      <c r="S866" s="103">
        <v>0</v>
      </c>
    </row>
    <row r="867" spans="1:19" x14ac:dyDescent="0.35">
      <c r="A867" s="83" t="s">
        <v>952</v>
      </c>
      <c r="D867" s="83" t="s">
        <v>2619</v>
      </c>
      <c r="F867" s="103">
        <v>0</v>
      </c>
      <c r="H867" s="89">
        <v>900</v>
      </c>
      <c r="J867" s="103">
        <v>0</v>
      </c>
      <c r="K867" s="103"/>
      <c r="M867" s="80">
        <f t="shared" si="66"/>
        <v>0</v>
      </c>
      <c r="O867" s="103">
        <v>0</v>
      </c>
      <c r="Q867" s="87">
        <f t="shared" si="65"/>
        <v>0</v>
      </c>
      <c r="S867" s="103">
        <v>0</v>
      </c>
    </row>
    <row r="868" spans="1:19" hidden="1" x14ac:dyDescent="0.35">
      <c r="A868" s="83" t="s">
        <v>953</v>
      </c>
      <c r="D868" s="83" t="s">
        <v>2623</v>
      </c>
      <c r="F868" s="103">
        <v>0</v>
      </c>
      <c r="H868" s="103">
        <v>0</v>
      </c>
      <c r="J868" s="103">
        <v>0</v>
      </c>
      <c r="K868" s="103"/>
      <c r="M868" s="80">
        <f t="shared" si="66"/>
        <v>0</v>
      </c>
      <c r="O868" s="103">
        <v>0</v>
      </c>
      <c r="Q868" s="87">
        <f t="shared" si="65"/>
        <v>0</v>
      </c>
      <c r="S868" s="103">
        <v>0</v>
      </c>
    </row>
    <row r="869" spans="1:19" hidden="1" x14ac:dyDescent="0.35">
      <c r="A869" s="83" t="s">
        <v>954</v>
      </c>
      <c r="D869" s="83" t="s">
        <v>2625</v>
      </c>
      <c r="F869" s="103">
        <v>0</v>
      </c>
      <c r="H869" s="103">
        <v>0</v>
      </c>
      <c r="J869" s="103">
        <v>0</v>
      </c>
      <c r="K869" s="103"/>
      <c r="M869" s="80">
        <f t="shared" si="66"/>
        <v>0</v>
      </c>
      <c r="O869" s="103">
        <v>0</v>
      </c>
      <c r="Q869" s="87">
        <f t="shared" si="65"/>
        <v>0</v>
      </c>
      <c r="S869" s="103">
        <v>0</v>
      </c>
    </row>
    <row r="870" spans="1:19" hidden="1" x14ac:dyDescent="0.35">
      <c r="A870" s="83" t="s">
        <v>955</v>
      </c>
      <c r="D870" s="83" t="s">
        <v>1082</v>
      </c>
      <c r="F870" s="103">
        <v>0</v>
      </c>
      <c r="H870" s="103">
        <v>0</v>
      </c>
      <c r="J870" s="103">
        <v>0</v>
      </c>
      <c r="K870" s="103"/>
      <c r="M870" s="80">
        <f t="shared" si="66"/>
        <v>0</v>
      </c>
      <c r="O870" s="103">
        <v>0</v>
      </c>
      <c r="Q870" s="87">
        <f t="shared" si="65"/>
        <v>0</v>
      </c>
      <c r="S870" s="103">
        <v>0</v>
      </c>
    </row>
    <row r="871" spans="1:19" hidden="1" x14ac:dyDescent="0.35">
      <c r="A871" s="83" t="s">
        <v>956</v>
      </c>
      <c r="D871" s="83" t="s">
        <v>2791</v>
      </c>
      <c r="F871" s="103">
        <v>0</v>
      </c>
      <c r="H871" s="89">
        <v>0</v>
      </c>
      <c r="J871" s="103">
        <v>0</v>
      </c>
      <c r="K871" s="103"/>
      <c r="M871" s="80">
        <f t="shared" si="66"/>
        <v>0</v>
      </c>
      <c r="O871" s="103">
        <v>0</v>
      </c>
      <c r="Q871" s="87">
        <f t="shared" si="65"/>
        <v>0</v>
      </c>
      <c r="S871" s="103">
        <v>0</v>
      </c>
    </row>
    <row r="872" spans="1:19" x14ac:dyDescent="0.35">
      <c r="A872" s="83" t="s">
        <v>957</v>
      </c>
      <c r="D872" s="83" t="s">
        <v>2653</v>
      </c>
      <c r="F872" s="103">
        <v>0</v>
      </c>
      <c r="H872" s="89">
        <v>164</v>
      </c>
      <c r="J872" s="103">
        <v>0</v>
      </c>
      <c r="K872" s="103"/>
      <c r="M872" s="80">
        <f t="shared" si="66"/>
        <v>0</v>
      </c>
      <c r="O872" s="103">
        <v>0</v>
      </c>
      <c r="Q872" s="87">
        <f t="shared" si="65"/>
        <v>0</v>
      </c>
      <c r="S872" s="103">
        <v>0</v>
      </c>
    </row>
    <row r="873" spans="1:19" hidden="1" x14ac:dyDescent="0.35">
      <c r="A873" s="83" t="s">
        <v>958</v>
      </c>
      <c r="D873" s="83" t="s">
        <v>1227</v>
      </c>
      <c r="F873" s="103">
        <v>0</v>
      </c>
      <c r="H873" s="103">
        <v>0</v>
      </c>
      <c r="J873" s="103">
        <v>0</v>
      </c>
      <c r="K873" s="103"/>
      <c r="M873" s="80">
        <f t="shared" si="66"/>
        <v>0</v>
      </c>
      <c r="O873" s="103">
        <v>0</v>
      </c>
      <c r="Q873" s="87">
        <f t="shared" si="65"/>
        <v>0</v>
      </c>
      <c r="S873" s="103">
        <v>0</v>
      </c>
    </row>
    <row r="874" spans="1:19" x14ac:dyDescent="0.35">
      <c r="A874" s="83" t="s">
        <v>959</v>
      </c>
      <c r="D874" s="83" t="s">
        <v>2633</v>
      </c>
      <c r="F874" s="89">
        <v>4400</v>
      </c>
      <c r="H874" s="89">
        <v>3423</v>
      </c>
      <c r="J874" s="89">
        <v>4400</v>
      </c>
      <c r="K874" s="89"/>
      <c r="M874" s="80">
        <f t="shared" si="66"/>
        <v>1100</v>
      </c>
      <c r="O874" s="103">
        <v>128</v>
      </c>
      <c r="Q874" s="87">
        <f t="shared" si="65"/>
        <v>972</v>
      </c>
      <c r="S874" s="103">
        <v>310</v>
      </c>
    </row>
    <row r="875" spans="1:19" hidden="1" x14ac:dyDescent="0.35">
      <c r="A875" s="83" t="s">
        <v>960</v>
      </c>
      <c r="D875" s="83" t="s">
        <v>961</v>
      </c>
      <c r="F875" s="89">
        <v>0</v>
      </c>
      <c r="H875" s="89">
        <v>0</v>
      </c>
      <c r="J875" s="89">
        <v>0</v>
      </c>
      <c r="K875" s="89"/>
      <c r="M875" s="89">
        <v>0</v>
      </c>
      <c r="O875" s="89">
        <v>0</v>
      </c>
      <c r="Q875" s="103">
        <v>0</v>
      </c>
      <c r="S875" s="103">
        <v>0</v>
      </c>
    </row>
    <row r="876" spans="1:19" x14ac:dyDescent="0.35">
      <c r="A876" s="83" t="s">
        <v>962</v>
      </c>
      <c r="D876" s="83" t="s">
        <v>2658</v>
      </c>
      <c r="F876" s="103">
        <v>0</v>
      </c>
      <c r="H876" s="103">
        <v>0</v>
      </c>
      <c r="J876" s="103">
        <v>0</v>
      </c>
      <c r="K876" s="103"/>
      <c r="M876" s="80">
        <f>+J876/12*3</f>
        <v>0</v>
      </c>
      <c r="O876" s="103">
        <v>54</v>
      </c>
      <c r="Q876" s="87">
        <f>+M876-O876</f>
        <v>-54</v>
      </c>
      <c r="S876" s="103">
        <v>0</v>
      </c>
    </row>
    <row r="877" spans="1:19" ht="13.9" x14ac:dyDescent="0.4">
      <c r="B877" s="83"/>
      <c r="D877" s="88" t="s">
        <v>1228</v>
      </c>
      <c r="F877" s="93">
        <f>SUM(F864:F876)</f>
        <v>4400</v>
      </c>
      <c r="H877" s="93">
        <f>SUM(H864:H876)</f>
        <v>4300</v>
      </c>
      <c r="J877" s="93">
        <f>SUM(J864:J876)</f>
        <v>4400</v>
      </c>
      <c r="K877" s="138"/>
      <c r="M877" s="93">
        <f>SUM(M864:M876)</f>
        <v>1100</v>
      </c>
      <c r="O877" s="93">
        <f>SUM(O864:O876)</f>
        <v>182</v>
      </c>
      <c r="Q877" s="94">
        <f>SUM(Q864:Q876)</f>
        <v>918</v>
      </c>
      <c r="S877" s="94">
        <f>SUM(S864:S876)</f>
        <v>310</v>
      </c>
    </row>
    <row r="878" spans="1:19" x14ac:dyDescent="0.35">
      <c r="F878" s="92"/>
      <c r="H878" s="92"/>
      <c r="J878" s="92"/>
      <c r="K878" s="92"/>
      <c r="M878" s="92"/>
      <c r="O878" s="92"/>
      <c r="Q878" s="95"/>
      <c r="S878" s="95"/>
    </row>
    <row r="879" spans="1:19" ht="13.9" x14ac:dyDescent="0.35">
      <c r="D879" s="82" t="s">
        <v>963</v>
      </c>
      <c r="F879" s="92"/>
      <c r="H879" s="92"/>
      <c r="J879" s="92"/>
      <c r="K879" s="92"/>
      <c r="M879" s="92"/>
      <c r="O879" s="92"/>
      <c r="Q879" s="95"/>
      <c r="S879" s="95"/>
    </row>
    <row r="880" spans="1:19" x14ac:dyDescent="0.35">
      <c r="A880" s="83" t="s">
        <v>964</v>
      </c>
      <c r="D880" s="83" t="s">
        <v>1229</v>
      </c>
      <c r="F880" s="89">
        <v>5000</v>
      </c>
      <c r="H880" s="89">
        <v>5000</v>
      </c>
      <c r="J880" s="89">
        <v>5000</v>
      </c>
      <c r="K880" s="89"/>
      <c r="M880" s="80">
        <f>+J880/12*3</f>
        <v>1250</v>
      </c>
      <c r="O880" s="103">
        <v>1250</v>
      </c>
      <c r="Q880" s="87">
        <f>+M880-O880</f>
        <v>0</v>
      </c>
      <c r="S880" s="103">
        <v>1250</v>
      </c>
    </row>
    <row r="881" spans="1:19" ht="13.9" x14ac:dyDescent="0.35">
      <c r="B881" s="83"/>
      <c r="D881" s="82" t="s">
        <v>1230</v>
      </c>
      <c r="F881" s="93">
        <f>+F880</f>
        <v>5000</v>
      </c>
      <c r="H881" s="93">
        <f>+H880</f>
        <v>5000</v>
      </c>
      <c r="J881" s="93">
        <f>+J880</f>
        <v>5000</v>
      </c>
      <c r="K881" s="138"/>
      <c r="M881" s="93">
        <f>+M880</f>
        <v>1250</v>
      </c>
      <c r="O881" s="93">
        <f>+O880</f>
        <v>1250</v>
      </c>
      <c r="Q881" s="94">
        <f>+Q880</f>
        <v>0</v>
      </c>
      <c r="S881" s="94">
        <f>+S880</f>
        <v>1250</v>
      </c>
    </row>
    <row r="882" spans="1:19" x14ac:dyDescent="0.35">
      <c r="F882" s="92"/>
      <c r="H882" s="92"/>
      <c r="J882" s="92"/>
      <c r="K882" s="92"/>
      <c r="M882" s="92"/>
      <c r="O882" s="92"/>
      <c r="Q882" s="95"/>
      <c r="S882" s="95"/>
    </row>
    <row r="883" spans="1:19" ht="13.9" x14ac:dyDescent="0.35">
      <c r="D883" s="82" t="s">
        <v>965</v>
      </c>
      <c r="F883" s="92"/>
      <c r="H883" s="92"/>
      <c r="J883" s="92"/>
      <c r="K883" s="92"/>
      <c r="M883" s="92"/>
      <c r="O883" s="92"/>
      <c r="Q883" s="95"/>
      <c r="S883" s="95"/>
    </row>
    <row r="884" spans="1:19" x14ac:dyDescent="0.35">
      <c r="A884" s="83" t="s">
        <v>966</v>
      </c>
      <c r="D884" s="83" t="s">
        <v>2653</v>
      </c>
      <c r="F884" s="103">
        <v>0</v>
      </c>
      <c r="H884" s="103">
        <v>0</v>
      </c>
      <c r="J884" s="103">
        <v>0</v>
      </c>
      <c r="K884" s="103"/>
      <c r="M884" s="80">
        <f>+J884/12*3</f>
        <v>0</v>
      </c>
      <c r="O884" s="103">
        <v>0</v>
      </c>
      <c r="Q884" s="87">
        <f>+M884-O884</f>
        <v>0</v>
      </c>
      <c r="S884" s="103">
        <v>0</v>
      </c>
    </row>
    <row r="885" spans="1:19" x14ac:dyDescent="0.35">
      <c r="A885" s="83" t="s">
        <v>967</v>
      </c>
      <c r="D885" s="83" t="s">
        <v>1231</v>
      </c>
      <c r="F885" s="89">
        <v>25000</v>
      </c>
      <c r="H885" s="89">
        <v>28803</v>
      </c>
      <c r="J885" s="89">
        <v>25000</v>
      </c>
      <c r="K885" s="89"/>
      <c r="M885" s="80">
        <f>+J885/12*3</f>
        <v>6250</v>
      </c>
      <c r="O885" s="103">
        <v>8169</v>
      </c>
      <c r="Q885" s="87">
        <f>+M885-O885</f>
        <v>-1919</v>
      </c>
      <c r="S885" s="103">
        <v>7201</v>
      </c>
    </row>
    <row r="886" spans="1:19" x14ac:dyDescent="0.35">
      <c r="A886" s="83" t="s">
        <v>968</v>
      </c>
      <c r="D886" s="83" t="s">
        <v>488</v>
      </c>
      <c r="F886" s="103">
        <v>0</v>
      </c>
      <c r="H886" s="89">
        <v>10973</v>
      </c>
      <c r="J886" s="89">
        <v>7675</v>
      </c>
      <c r="K886" s="89"/>
      <c r="M886" s="80">
        <f>+J886/12*3</f>
        <v>1918.75</v>
      </c>
      <c r="O886" s="103">
        <v>0</v>
      </c>
      <c r="Q886" s="87">
        <f>+M886-O886</f>
        <v>1918.75</v>
      </c>
      <c r="S886" s="103">
        <v>8735</v>
      </c>
    </row>
    <row r="887" spans="1:19" ht="13.9" x14ac:dyDescent="0.35">
      <c r="B887" s="83"/>
      <c r="D887" s="82" t="s">
        <v>1232</v>
      </c>
      <c r="F887" s="93">
        <f>SUM(F884:F886)</f>
        <v>25000</v>
      </c>
      <c r="H887" s="93">
        <f>SUM(H884:H886)</f>
        <v>39776</v>
      </c>
      <c r="J887" s="93">
        <f>SUM(J884:J886)</f>
        <v>32675</v>
      </c>
      <c r="K887" s="138"/>
      <c r="M887" s="93">
        <f>SUM(M884:M886)</f>
        <v>8168.75</v>
      </c>
      <c r="O887" s="93">
        <f>SUM(O884:O886)</f>
        <v>8169</v>
      </c>
      <c r="Q887" s="94">
        <f>SUM(Q884:Q886)</f>
        <v>-0.25</v>
      </c>
      <c r="S887" s="94">
        <f>SUM(S884:S886)</f>
        <v>15936</v>
      </c>
    </row>
    <row r="888" spans="1:19" x14ac:dyDescent="0.35">
      <c r="F888" s="92"/>
      <c r="H888" s="92"/>
      <c r="J888" s="92"/>
      <c r="K888" s="92"/>
      <c r="M888" s="92"/>
      <c r="O888" s="92"/>
      <c r="Q888" s="95"/>
      <c r="S888" s="95"/>
    </row>
    <row r="889" spans="1:19" ht="13.9" x14ac:dyDescent="0.35">
      <c r="D889" s="82" t="s">
        <v>969</v>
      </c>
      <c r="F889" s="92"/>
      <c r="H889" s="92"/>
      <c r="J889" s="92"/>
      <c r="K889" s="92"/>
      <c r="M889" s="92"/>
      <c r="O889" s="92"/>
      <c r="Q889" s="95"/>
      <c r="S889" s="95"/>
    </row>
    <row r="890" spans="1:19" ht="13.9" x14ac:dyDescent="0.35">
      <c r="D890" s="82" t="s">
        <v>1233</v>
      </c>
      <c r="F890" s="92"/>
      <c r="H890" s="92"/>
      <c r="J890" s="92"/>
      <c r="K890" s="92"/>
      <c r="M890" s="92"/>
      <c r="O890" s="92"/>
      <c r="Q890" s="95"/>
      <c r="S890" s="95"/>
    </row>
    <row r="891" spans="1:19" x14ac:dyDescent="0.35">
      <c r="A891" s="83" t="s">
        <v>970</v>
      </c>
      <c r="D891" s="83" t="s">
        <v>971</v>
      </c>
      <c r="F891" s="89">
        <v>17189</v>
      </c>
      <c r="H891" s="89">
        <v>35347</v>
      </c>
      <c r="J891" s="89">
        <v>17189</v>
      </c>
      <c r="K891" s="89"/>
      <c r="M891" s="80">
        <f>+J891/12*3</f>
        <v>4297.25</v>
      </c>
      <c r="O891" s="103">
        <v>9500</v>
      </c>
      <c r="Q891" s="87">
        <f t="shared" ref="Q891:Q897" si="67">+M891-O891</f>
        <v>-5202.75</v>
      </c>
      <c r="S891" s="103">
        <v>8837</v>
      </c>
    </row>
    <row r="892" spans="1:19" x14ac:dyDescent="0.35">
      <c r="A892" s="83" t="s">
        <v>972</v>
      </c>
      <c r="D892" s="83" t="s">
        <v>973</v>
      </c>
      <c r="F892" s="89">
        <v>27374</v>
      </c>
      <c r="H892" s="89">
        <v>8000</v>
      </c>
      <c r="J892" s="89">
        <v>27374</v>
      </c>
      <c r="K892" s="89"/>
      <c r="M892" s="80">
        <f t="shared" ref="M892:M897" si="68">+J892/12*3</f>
        <v>6843.5</v>
      </c>
      <c r="O892" s="103">
        <v>7250</v>
      </c>
      <c r="Q892" s="87">
        <f t="shared" si="67"/>
        <v>-406.5</v>
      </c>
      <c r="S892" s="103">
        <v>2000</v>
      </c>
    </row>
    <row r="893" spans="1:19" x14ac:dyDescent="0.35">
      <c r="A893" s="83" t="s">
        <v>974</v>
      </c>
      <c r="D893" s="83" t="s">
        <v>975</v>
      </c>
      <c r="F893" s="89">
        <v>54473</v>
      </c>
      <c r="H893" s="89">
        <v>46617</v>
      </c>
      <c r="J893" s="89">
        <v>54473</v>
      </c>
      <c r="K893" s="89"/>
      <c r="M893" s="80">
        <f t="shared" si="68"/>
        <v>13618.25</v>
      </c>
      <c r="O893" s="103">
        <v>7610</v>
      </c>
      <c r="Q893" s="87">
        <f t="shared" si="67"/>
        <v>6008.25</v>
      </c>
      <c r="S893" s="103">
        <v>11111</v>
      </c>
    </row>
    <row r="894" spans="1:19" x14ac:dyDescent="0.35">
      <c r="A894" s="83" t="s">
        <v>976</v>
      </c>
      <c r="D894" s="83" t="s">
        <v>977</v>
      </c>
      <c r="F894" s="89">
        <v>15258</v>
      </c>
      <c r="H894" s="89">
        <v>15495</v>
      </c>
      <c r="J894" s="89">
        <v>15258</v>
      </c>
      <c r="K894" s="89"/>
      <c r="M894" s="80">
        <f t="shared" si="68"/>
        <v>3814.5</v>
      </c>
      <c r="O894" s="103">
        <v>6146</v>
      </c>
      <c r="Q894" s="87">
        <f t="shared" si="67"/>
        <v>-2331.5</v>
      </c>
      <c r="S894" s="103">
        <v>2390</v>
      </c>
    </row>
    <row r="895" spans="1:19" x14ac:dyDescent="0.35">
      <c r="A895" s="83" t="s">
        <v>978</v>
      </c>
      <c r="D895" s="83" t="s">
        <v>979</v>
      </c>
      <c r="F895" s="103">
        <v>0</v>
      </c>
      <c r="H895" s="103">
        <v>0</v>
      </c>
      <c r="J895" s="89">
        <v>22000</v>
      </c>
      <c r="K895" s="89"/>
      <c r="M895" s="80">
        <f t="shared" si="68"/>
        <v>5500</v>
      </c>
      <c r="O895" s="103">
        <v>0</v>
      </c>
      <c r="Q895" s="87">
        <f t="shared" si="67"/>
        <v>5500</v>
      </c>
      <c r="S895" s="103">
        <v>0</v>
      </c>
    </row>
    <row r="896" spans="1:19" x14ac:dyDescent="0.35">
      <c r="A896" s="83" t="s">
        <v>980</v>
      </c>
      <c r="D896" s="83" t="s">
        <v>981</v>
      </c>
      <c r="F896" s="89">
        <v>34577</v>
      </c>
      <c r="H896" s="89">
        <v>43874</v>
      </c>
      <c r="J896" s="89">
        <v>34577</v>
      </c>
      <c r="K896" s="89"/>
      <c r="M896" s="80">
        <f t="shared" si="68"/>
        <v>8644.25</v>
      </c>
      <c r="O896" s="103">
        <v>7282</v>
      </c>
      <c r="Q896" s="87">
        <f t="shared" si="67"/>
        <v>1362.25</v>
      </c>
      <c r="S896" s="103">
        <v>10968</v>
      </c>
    </row>
    <row r="897" spans="1:19" x14ac:dyDescent="0.35">
      <c r="A897" s="83" t="s">
        <v>982</v>
      </c>
      <c r="D897" s="83" t="s">
        <v>983</v>
      </c>
      <c r="F897" s="89">
        <v>40479</v>
      </c>
      <c r="H897" s="89">
        <v>43322</v>
      </c>
      <c r="J897" s="89">
        <v>40479</v>
      </c>
      <c r="K897" s="89"/>
      <c r="M897" s="80">
        <f t="shared" si="68"/>
        <v>10119.75</v>
      </c>
      <c r="O897" s="103">
        <v>13048</v>
      </c>
      <c r="Q897" s="87">
        <f t="shared" si="67"/>
        <v>-2928.25</v>
      </c>
      <c r="S897" s="103">
        <v>10664</v>
      </c>
    </row>
    <row r="898" spans="1:19" ht="13.9" x14ac:dyDescent="0.35">
      <c r="B898" s="83"/>
      <c r="D898" s="82" t="s">
        <v>1042</v>
      </c>
      <c r="F898" s="93">
        <f>SUM(F891:F897)</f>
        <v>189350</v>
      </c>
      <c r="H898" s="93">
        <f>SUM(H891:H897)</f>
        <v>192655</v>
      </c>
      <c r="J898" s="93">
        <f>SUM(J891:J897)</f>
        <v>211350</v>
      </c>
      <c r="K898" s="138"/>
      <c r="M898" s="93">
        <f>SUM(M891:M897)</f>
        <v>52837.5</v>
      </c>
      <c r="O898" s="93">
        <f>SUM(O891:O897)</f>
        <v>50836</v>
      </c>
      <c r="Q898" s="94">
        <f>SUM(Q891:Q897)</f>
        <v>2001.5</v>
      </c>
      <c r="S898" s="94">
        <f>SUM(S891:S897)</f>
        <v>45970</v>
      </c>
    </row>
    <row r="899" spans="1:19" x14ac:dyDescent="0.35">
      <c r="F899" s="92"/>
      <c r="H899" s="92"/>
      <c r="J899" s="92"/>
      <c r="K899" s="92"/>
      <c r="M899" s="92"/>
      <c r="O899" s="92"/>
      <c r="Q899" s="95"/>
      <c r="S899" s="95"/>
    </row>
    <row r="900" spans="1:19" ht="13.9" x14ac:dyDescent="0.35">
      <c r="D900" s="82" t="s">
        <v>1234</v>
      </c>
      <c r="F900" s="92"/>
      <c r="H900" s="92"/>
      <c r="J900" s="92"/>
      <c r="K900" s="92"/>
      <c r="M900" s="92"/>
      <c r="O900" s="92"/>
      <c r="Q900" s="95"/>
      <c r="S900" s="95"/>
    </row>
    <row r="901" spans="1:19" x14ac:dyDescent="0.35">
      <c r="A901" s="83" t="s">
        <v>984</v>
      </c>
      <c r="D901" s="83" t="s">
        <v>2661</v>
      </c>
      <c r="F901" s="89">
        <v>-50000</v>
      </c>
      <c r="H901" s="89">
        <v>-34199</v>
      </c>
      <c r="J901" s="89">
        <v>-50000</v>
      </c>
      <c r="K901" s="89"/>
      <c r="M901" s="80">
        <f>+J901/12*3</f>
        <v>-12500</v>
      </c>
      <c r="O901" s="103">
        <v>0</v>
      </c>
      <c r="Q901" s="87">
        <f t="shared" ref="Q901:Q918" si="69">+M901-O901</f>
        <v>-12500</v>
      </c>
      <c r="S901" s="103">
        <v>0</v>
      </c>
    </row>
    <row r="902" spans="1:19" x14ac:dyDescent="0.35">
      <c r="A902" s="83" t="s">
        <v>985</v>
      </c>
      <c r="D902" s="83" t="s">
        <v>1235</v>
      </c>
      <c r="F902" s="89">
        <v>-10000</v>
      </c>
      <c r="H902" s="103">
        <v>0</v>
      </c>
      <c r="J902" s="89">
        <v>-10000</v>
      </c>
      <c r="K902" s="89"/>
      <c r="M902" s="80">
        <f t="shared" ref="M902:M918" si="70">+J902/12*3</f>
        <v>-2500</v>
      </c>
      <c r="O902" s="103">
        <v>0</v>
      </c>
      <c r="Q902" s="87">
        <f t="shared" si="69"/>
        <v>-2500</v>
      </c>
      <c r="S902" s="103">
        <v>0</v>
      </c>
    </row>
    <row r="903" spans="1:19" hidden="1" x14ac:dyDescent="0.35">
      <c r="A903" s="83" t="s">
        <v>986</v>
      </c>
      <c r="D903" s="83" t="s">
        <v>987</v>
      </c>
      <c r="F903" s="89">
        <v>0</v>
      </c>
      <c r="H903" s="103">
        <v>0</v>
      </c>
      <c r="J903" s="89">
        <v>0</v>
      </c>
      <c r="K903" s="89"/>
      <c r="M903" s="80">
        <f t="shared" si="70"/>
        <v>0</v>
      </c>
      <c r="O903" s="103">
        <v>0</v>
      </c>
      <c r="Q903" s="87">
        <f t="shared" si="69"/>
        <v>0</v>
      </c>
      <c r="S903" s="103">
        <v>0</v>
      </c>
    </row>
    <row r="904" spans="1:19" x14ac:dyDescent="0.35">
      <c r="A904" s="83" t="s">
        <v>988</v>
      </c>
      <c r="D904" s="83" t="s">
        <v>989</v>
      </c>
      <c r="F904" s="89">
        <v>6000</v>
      </c>
      <c r="H904" s="103">
        <v>0</v>
      </c>
      <c r="J904" s="89">
        <v>7000</v>
      </c>
      <c r="K904" s="89"/>
      <c r="M904" s="80">
        <f t="shared" si="70"/>
        <v>1750</v>
      </c>
      <c r="O904" s="103">
        <v>0</v>
      </c>
      <c r="Q904" s="87">
        <f t="shared" si="69"/>
        <v>1750</v>
      </c>
      <c r="S904" s="103">
        <v>0</v>
      </c>
    </row>
    <row r="905" spans="1:19" x14ac:dyDescent="0.35">
      <c r="A905" s="83" t="s">
        <v>990</v>
      </c>
      <c r="D905" s="83" t="s">
        <v>991</v>
      </c>
      <c r="F905" s="89">
        <v>6000</v>
      </c>
      <c r="H905" s="103">
        <v>0</v>
      </c>
      <c r="J905" s="89">
        <v>7000</v>
      </c>
      <c r="K905" s="89"/>
      <c r="M905" s="80">
        <f t="shared" si="70"/>
        <v>1750</v>
      </c>
      <c r="O905" s="103">
        <v>0</v>
      </c>
      <c r="Q905" s="87">
        <f t="shared" si="69"/>
        <v>1750</v>
      </c>
      <c r="S905" s="103">
        <v>0</v>
      </c>
    </row>
    <row r="906" spans="1:19" x14ac:dyDescent="0.35">
      <c r="A906" s="83" t="s">
        <v>992</v>
      </c>
      <c r="D906" s="83" t="s">
        <v>993</v>
      </c>
      <c r="F906" s="89">
        <v>6000</v>
      </c>
      <c r="H906" s="103">
        <v>0</v>
      </c>
      <c r="J906" s="89">
        <v>7000</v>
      </c>
      <c r="K906" s="89"/>
      <c r="M906" s="80">
        <f t="shared" si="70"/>
        <v>1750</v>
      </c>
      <c r="O906" s="103">
        <v>0</v>
      </c>
      <c r="Q906" s="87">
        <f t="shared" si="69"/>
        <v>1750</v>
      </c>
      <c r="S906" s="103">
        <v>0</v>
      </c>
    </row>
    <row r="907" spans="1:19" x14ac:dyDescent="0.35">
      <c r="A907" s="83" t="s">
        <v>994</v>
      </c>
      <c r="D907" s="83" t="s">
        <v>995</v>
      </c>
      <c r="F907" s="89">
        <v>6000</v>
      </c>
      <c r="H907" s="103">
        <v>0</v>
      </c>
      <c r="J907" s="89">
        <v>7000</v>
      </c>
      <c r="K907" s="89"/>
      <c r="M907" s="80">
        <f t="shared" si="70"/>
        <v>1750</v>
      </c>
      <c r="O907" s="103">
        <v>0</v>
      </c>
      <c r="Q907" s="87">
        <f t="shared" si="69"/>
        <v>1750</v>
      </c>
      <c r="S907" s="103">
        <v>0</v>
      </c>
    </row>
    <row r="908" spans="1:19" x14ac:dyDescent="0.35">
      <c r="A908" s="83" t="s">
        <v>996</v>
      </c>
      <c r="D908" s="83" t="s">
        <v>997</v>
      </c>
      <c r="F908" s="103">
        <v>0</v>
      </c>
      <c r="H908" s="103">
        <v>0</v>
      </c>
      <c r="J908" s="103">
        <v>0</v>
      </c>
      <c r="K908" s="103"/>
      <c r="M908" s="80">
        <f t="shared" si="70"/>
        <v>0</v>
      </c>
      <c r="O908" s="103">
        <v>0</v>
      </c>
      <c r="Q908" s="87">
        <f t="shared" si="69"/>
        <v>0</v>
      </c>
      <c r="S908" s="103">
        <v>0</v>
      </c>
    </row>
    <row r="909" spans="1:19" x14ac:dyDescent="0.35">
      <c r="A909" s="83" t="s">
        <v>998</v>
      </c>
      <c r="D909" s="83" t="s">
        <v>999</v>
      </c>
      <c r="F909" s="89">
        <v>6000</v>
      </c>
      <c r="H909" s="103">
        <v>0</v>
      </c>
      <c r="J909" s="89">
        <v>7000</v>
      </c>
      <c r="K909" s="89"/>
      <c r="M909" s="80">
        <f t="shared" si="70"/>
        <v>1750</v>
      </c>
      <c r="O909" s="103">
        <v>0</v>
      </c>
      <c r="Q909" s="87">
        <f t="shared" si="69"/>
        <v>1750</v>
      </c>
      <c r="S909" s="103">
        <v>0</v>
      </c>
    </row>
    <row r="910" spans="1:19" x14ac:dyDescent="0.35">
      <c r="A910" s="83" t="s">
        <v>1000</v>
      </c>
      <c r="D910" s="83" t="s">
        <v>1001</v>
      </c>
      <c r="F910" s="89">
        <v>6000</v>
      </c>
      <c r="H910" s="89">
        <v>11500</v>
      </c>
      <c r="J910" s="89">
        <v>7000</v>
      </c>
      <c r="K910" s="89"/>
      <c r="M910" s="80">
        <f t="shared" si="70"/>
        <v>1750</v>
      </c>
      <c r="O910" s="103">
        <v>0</v>
      </c>
      <c r="Q910" s="87">
        <f t="shared" si="69"/>
        <v>1750</v>
      </c>
      <c r="S910" s="103">
        <v>0</v>
      </c>
    </row>
    <row r="911" spans="1:19" x14ac:dyDescent="0.35">
      <c r="A911" s="83" t="s">
        <v>1002</v>
      </c>
      <c r="D911" s="83" t="s">
        <v>1236</v>
      </c>
      <c r="F911" s="89">
        <v>400</v>
      </c>
      <c r="H911" s="103">
        <v>0</v>
      </c>
      <c r="J911" s="89">
        <v>400</v>
      </c>
      <c r="K911" s="89"/>
      <c r="M911" s="80">
        <f t="shared" si="70"/>
        <v>100</v>
      </c>
      <c r="O911" s="103">
        <v>0</v>
      </c>
      <c r="Q911" s="87">
        <f t="shared" si="69"/>
        <v>100</v>
      </c>
      <c r="S911" s="103">
        <v>0</v>
      </c>
    </row>
    <row r="912" spans="1:19" x14ac:dyDescent="0.35">
      <c r="A912" s="83" t="s">
        <v>1003</v>
      </c>
      <c r="D912" s="83" t="s">
        <v>2623</v>
      </c>
      <c r="F912" s="89">
        <v>50</v>
      </c>
      <c r="H912" s="103">
        <v>0</v>
      </c>
      <c r="J912" s="89">
        <v>50</v>
      </c>
      <c r="K912" s="89"/>
      <c r="M912" s="80">
        <f t="shared" si="70"/>
        <v>12.5</v>
      </c>
      <c r="O912" s="103">
        <v>0</v>
      </c>
      <c r="Q912" s="87">
        <f t="shared" si="69"/>
        <v>12.5</v>
      </c>
      <c r="S912" s="103">
        <v>0</v>
      </c>
    </row>
    <row r="913" spans="1:20" x14ac:dyDescent="0.35">
      <c r="A913" s="83" t="s">
        <v>1004</v>
      </c>
      <c r="D913" s="83" t="s">
        <v>2706</v>
      </c>
      <c r="F913" s="89">
        <v>300</v>
      </c>
      <c r="H913" s="103">
        <v>0</v>
      </c>
      <c r="J913" s="89">
        <v>300</v>
      </c>
      <c r="K913" s="89"/>
      <c r="M913" s="80">
        <f t="shared" si="70"/>
        <v>75</v>
      </c>
      <c r="O913" s="103">
        <v>0</v>
      </c>
      <c r="Q913" s="87">
        <f t="shared" si="69"/>
        <v>75</v>
      </c>
      <c r="S913" s="103">
        <v>0</v>
      </c>
    </row>
    <row r="914" spans="1:20" x14ac:dyDescent="0.35">
      <c r="A914" s="83" t="s">
        <v>1005</v>
      </c>
      <c r="D914" s="83" t="s">
        <v>1082</v>
      </c>
      <c r="F914" s="89">
        <v>100</v>
      </c>
      <c r="H914" s="103">
        <v>0</v>
      </c>
      <c r="J914" s="89">
        <v>100</v>
      </c>
      <c r="K914" s="89"/>
      <c r="M914" s="80">
        <f t="shared" si="70"/>
        <v>25</v>
      </c>
      <c r="O914" s="103">
        <v>0</v>
      </c>
      <c r="Q914" s="87">
        <f t="shared" si="69"/>
        <v>25</v>
      </c>
      <c r="S914" s="103">
        <v>0</v>
      </c>
    </row>
    <row r="915" spans="1:20" x14ac:dyDescent="0.35">
      <c r="A915" s="83" t="s">
        <v>1006</v>
      </c>
      <c r="D915" s="83" t="s">
        <v>1046</v>
      </c>
      <c r="F915" s="103">
        <v>0</v>
      </c>
      <c r="H915" s="103">
        <v>0</v>
      </c>
      <c r="J915" s="103">
        <v>0</v>
      </c>
      <c r="K915" s="103"/>
      <c r="M915" s="80">
        <f t="shared" si="70"/>
        <v>0</v>
      </c>
      <c r="O915" s="103">
        <v>0</v>
      </c>
      <c r="Q915" s="87">
        <f t="shared" si="69"/>
        <v>0</v>
      </c>
      <c r="S915" s="103">
        <v>0</v>
      </c>
    </row>
    <row r="916" spans="1:20" x14ac:dyDescent="0.35">
      <c r="A916" s="83" t="s">
        <v>1007</v>
      </c>
      <c r="D916" s="83" t="s">
        <v>1237</v>
      </c>
      <c r="F916" s="89">
        <v>2500</v>
      </c>
      <c r="H916" s="103">
        <v>0</v>
      </c>
      <c r="J916" s="89">
        <v>2500</v>
      </c>
      <c r="K916" s="89"/>
      <c r="M916" s="80">
        <f t="shared" si="70"/>
        <v>625</v>
      </c>
      <c r="O916" s="103">
        <v>0</v>
      </c>
      <c r="Q916" s="87">
        <f t="shared" si="69"/>
        <v>625</v>
      </c>
      <c r="S916" s="103">
        <v>0</v>
      </c>
    </row>
    <row r="917" spans="1:20" x14ac:dyDescent="0.35">
      <c r="A917" s="83" t="s">
        <v>1008</v>
      </c>
      <c r="D917" s="83" t="s">
        <v>2653</v>
      </c>
      <c r="F917" s="89">
        <v>300</v>
      </c>
      <c r="H917" s="103">
        <v>0</v>
      </c>
      <c r="J917" s="89">
        <v>300</v>
      </c>
      <c r="K917" s="89"/>
      <c r="M917" s="80">
        <f t="shared" si="70"/>
        <v>75</v>
      </c>
      <c r="O917" s="103">
        <v>0</v>
      </c>
      <c r="Q917" s="87">
        <f t="shared" si="69"/>
        <v>75</v>
      </c>
      <c r="S917" s="103">
        <v>0</v>
      </c>
    </row>
    <row r="918" spans="1:20" x14ac:dyDescent="0.35">
      <c r="A918" s="83" t="s">
        <v>1009</v>
      </c>
      <c r="D918" s="83" t="s">
        <v>2655</v>
      </c>
      <c r="F918" s="89">
        <v>1000</v>
      </c>
      <c r="H918" s="89">
        <v>44</v>
      </c>
      <c r="J918" s="89">
        <v>1000</v>
      </c>
      <c r="K918" s="89"/>
      <c r="M918" s="80">
        <f t="shared" si="70"/>
        <v>250</v>
      </c>
      <c r="O918" s="103">
        <v>0</v>
      </c>
      <c r="Q918" s="87">
        <f t="shared" si="69"/>
        <v>250</v>
      </c>
      <c r="S918" s="103">
        <v>42</v>
      </c>
    </row>
    <row r="919" spans="1:20" ht="13.9" x14ac:dyDescent="0.35">
      <c r="B919" s="83"/>
      <c r="D919" s="82" t="s">
        <v>1042</v>
      </c>
      <c r="F919" s="93">
        <f>SUM(F901:F918)</f>
        <v>-19350</v>
      </c>
      <c r="H919" s="93">
        <f>SUM(H901:H918)</f>
        <v>-22655</v>
      </c>
      <c r="J919" s="93">
        <f>SUM(J901:J918)</f>
        <v>-13350</v>
      </c>
      <c r="K919" s="138"/>
      <c r="M919" s="93">
        <f>SUM(M901:M918)</f>
        <v>-3337.5</v>
      </c>
      <c r="O919" s="94">
        <f>SUM(O901:O918)</f>
        <v>0</v>
      </c>
      <c r="Q919" s="94">
        <f>SUM(Q901:Q918)</f>
        <v>-3337.5</v>
      </c>
      <c r="S919" s="94">
        <f>SUM(S901:S918)</f>
        <v>42</v>
      </c>
    </row>
    <row r="920" spans="1:20" x14ac:dyDescent="0.35">
      <c r="F920" s="92"/>
      <c r="H920" s="92"/>
      <c r="J920" s="92"/>
      <c r="K920" s="92"/>
      <c r="M920" s="92"/>
      <c r="O920" s="92"/>
      <c r="Q920" s="95"/>
      <c r="S920" s="95"/>
    </row>
    <row r="921" spans="1:20" ht="13.9" x14ac:dyDescent="0.4">
      <c r="B921" s="83"/>
      <c r="D921" s="88" t="s">
        <v>1238</v>
      </c>
      <c r="E921" s="88"/>
      <c r="F921" s="96">
        <f>+F898+F919</f>
        <v>170000</v>
      </c>
      <c r="G921" s="88"/>
      <c r="H921" s="96">
        <f>+H898+H919</f>
        <v>170000</v>
      </c>
      <c r="I921" s="88"/>
      <c r="J921" s="96">
        <f>+J898+J919</f>
        <v>198000</v>
      </c>
      <c r="K921" s="137"/>
      <c r="L921" s="88"/>
      <c r="M921" s="96">
        <f>+M898+M919</f>
        <v>49500</v>
      </c>
      <c r="N921" s="88"/>
      <c r="O921" s="96">
        <f>+O898+O919</f>
        <v>50836</v>
      </c>
      <c r="P921" s="88"/>
      <c r="Q921" s="97">
        <f>+Q898+Q919</f>
        <v>-1336</v>
      </c>
      <c r="R921" s="88"/>
      <c r="S921" s="97">
        <f>+S898+S919</f>
        <v>46012</v>
      </c>
      <c r="T921" s="88"/>
    </row>
    <row r="922" spans="1:20" x14ac:dyDescent="0.35">
      <c r="F922" s="92"/>
      <c r="H922" s="92"/>
      <c r="J922" s="92"/>
      <c r="K922" s="92"/>
      <c r="M922" s="92"/>
      <c r="O922" s="92"/>
      <c r="Q922" s="95"/>
      <c r="S922" s="95"/>
    </row>
    <row r="923" spans="1:20" ht="13.9" x14ac:dyDescent="0.35">
      <c r="D923" s="82" t="s">
        <v>1010</v>
      </c>
      <c r="F923" s="92"/>
      <c r="H923" s="92"/>
      <c r="J923" s="92"/>
      <c r="K923" s="92"/>
      <c r="M923" s="92"/>
      <c r="O923" s="92"/>
      <c r="Q923" s="95"/>
      <c r="S923" s="95"/>
    </row>
    <row r="924" spans="1:20" hidden="1" x14ac:dyDescent="0.35">
      <c r="A924" s="83" t="s">
        <v>1011</v>
      </c>
      <c r="D924" s="83" t="s">
        <v>1012</v>
      </c>
      <c r="F924" s="89">
        <v>0</v>
      </c>
      <c r="H924" s="89">
        <v>0</v>
      </c>
      <c r="J924" s="89">
        <v>0</v>
      </c>
      <c r="K924" s="89"/>
      <c r="M924" s="89">
        <v>0</v>
      </c>
      <c r="O924" s="89">
        <v>0</v>
      </c>
      <c r="Q924" s="103">
        <v>0</v>
      </c>
      <c r="S924" s="103">
        <v>0</v>
      </c>
    </row>
    <row r="925" spans="1:20" hidden="1" x14ac:dyDescent="0.35">
      <c r="A925" s="83" t="s">
        <v>1013</v>
      </c>
      <c r="D925" s="83" t="s">
        <v>1014</v>
      </c>
      <c r="F925" s="89">
        <v>0</v>
      </c>
      <c r="H925" s="89">
        <v>0</v>
      </c>
      <c r="J925" s="89">
        <v>0</v>
      </c>
      <c r="K925" s="89"/>
      <c r="M925" s="89">
        <v>0</v>
      </c>
      <c r="O925" s="89">
        <v>0</v>
      </c>
      <c r="Q925" s="103">
        <v>0</v>
      </c>
      <c r="S925" s="103">
        <v>0</v>
      </c>
    </row>
    <row r="926" spans="1:20" hidden="1" x14ac:dyDescent="0.35">
      <c r="A926" s="83" t="s">
        <v>1015</v>
      </c>
      <c r="D926" s="83" t="s">
        <v>1016</v>
      </c>
      <c r="F926" s="89">
        <v>0</v>
      </c>
      <c r="H926" s="89">
        <v>0</v>
      </c>
      <c r="J926" s="89">
        <v>0</v>
      </c>
      <c r="K926" s="89"/>
      <c r="M926" s="89">
        <v>0</v>
      </c>
      <c r="O926" s="89">
        <v>0</v>
      </c>
      <c r="Q926" s="103">
        <v>0</v>
      </c>
      <c r="S926" s="103">
        <v>0</v>
      </c>
    </row>
    <row r="927" spans="1:20" hidden="1" x14ac:dyDescent="0.35">
      <c r="A927" s="83" t="s">
        <v>1017</v>
      </c>
      <c r="D927" s="83" t="s">
        <v>1018</v>
      </c>
      <c r="F927" s="89">
        <v>0</v>
      </c>
      <c r="H927" s="89">
        <v>0</v>
      </c>
      <c r="J927" s="89">
        <v>0</v>
      </c>
      <c r="K927" s="89"/>
      <c r="M927" s="89">
        <v>0</v>
      </c>
      <c r="O927" s="89">
        <v>0</v>
      </c>
      <c r="Q927" s="103">
        <v>0</v>
      </c>
      <c r="S927" s="103">
        <v>0</v>
      </c>
    </row>
    <row r="928" spans="1:20" x14ac:dyDescent="0.35">
      <c r="A928" s="83" t="s">
        <v>1019</v>
      </c>
      <c r="D928" s="83" t="s">
        <v>2633</v>
      </c>
      <c r="F928" s="89">
        <v>850</v>
      </c>
      <c r="H928" s="89">
        <v>385</v>
      </c>
      <c r="J928" s="89">
        <v>850</v>
      </c>
      <c r="K928" s="89"/>
      <c r="M928" s="80">
        <f>+J928/12*3</f>
        <v>212.5</v>
      </c>
      <c r="O928" s="103">
        <v>390</v>
      </c>
      <c r="Q928" s="87">
        <f>+M928-O928</f>
        <v>-177.5</v>
      </c>
      <c r="S928" s="103">
        <v>0</v>
      </c>
    </row>
    <row r="929" spans="1:19" hidden="1" x14ac:dyDescent="0.35">
      <c r="A929" s="83" t="s">
        <v>1020</v>
      </c>
      <c r="D929" s="83" t="s">
        <v>1021</v>
      </c>
      <c r="F929" s="89">
        <v>0</v>
      </c>
      <c r="H929" s="89">
        <v>0</v>
      </c>
      <c r="J929" s="89">
        <v>0</v>
      </c>
      <c r="K929" s="89"/>
      <c r="M929" s="89">
        <v>0</v>
      </c>
      <c r="O929" s="89">
        <v>0</v>
      </c>
      <c r="Q929" s="103">
        <v>0</v>
      </c>
      <c r="S929" s="103">
        <v>0</v>
      </c>
    </row>
    <row r="930" spans="1:19" ht="13.9" x14ac:dyDescent="0.35">
      <c r="B930" s="83"/>
      <c r="D930" s="82" t="s">
        <v>1239</v>
      </c>
      <c r="F930" s="93">
        <f>SUM(F924:F929)</f>
        <v>850</v>
      </c>
      <c r="H930" s="93">
        <f>SUM(H924:H929)</f>
        <v>385</v>
      </c>
      <c r="J930" s="93">
        <f>SUM(J924:J929)</f>
        <v>850</v>
      </c>
      <c r="K930" s="138"/>
      <c r="M930" s="93">
        <f>SUM(M924:M929)</f>
        <v>212.5</v>
      </c>
      <c r="O930" s="94">
        <f>SUM(O924:O929)</f>
        <v>390</v>
      </c>
      <c r="Q930" s="94">
        <f>SUM(Q924:Q929)</f>
        <v>-177.5</v>
      </c>
      <c r="S930" s="94">
        <f>SUM(S924:S929)</f>
        <v>0</v>
      </c>
    </row>
    <row r="931" spans="1:19" x14ac:dyDescent="0.35">
      <c r="F931" s="92"/>
      <c r="H931" s="92"/>
      <c r="J931" s="92"/>
      <c r="K931" s="92"/>
      <c r="M931" s="92"/>
      <c r="O931" s="92"/>
      <c r="Q931" s="95"/>
      <c r="S931" s="95"/>
    </row>
    <row r="932" spans="1:19" ht="13.9" x14ac:dyDescent="0.35">
      <c r="D932" s="82" t="s">
        <v>1022</v>
      </c>
      <c r="F932" s="92"/>
      <c r="H932" s="92"/>
      <c r="J932" s="92"/>
      <c r="K932" s="92"/>
      <c r="M932" s="92"/>
      <c r="O932" s="92"/>
      <c r="Q932" s="95"/>
      <c r="S932" s="95"/>
    </row>
    <row r="933" spans="1:19" hidden="1" x14ac:dyDescent="0.35">
      <c r="A933" s="83" t="s">
        <v>1023</v>
      </c>
      <c r="D933" s="83" t="s">
        <v>1024</v>
      </c>
      <c r="F933" s="89">
        <v>0</v>
      </c>
      <c r="H933" s="89">
        <v>0</v>
      </c>
      <c r="J933" s="89">
        <v>0</v>
      </c>
      <c r="K933" s="89"/>
      <c r="M933" s="89">
        <v>0</v>
      </c>
      <c r="O933" s="89">
        <v>0</v>
      </c>
      <c r="Q933" s="103">
        <v>0</v>
      </c>
      <c r="S933" s="103">
        <v>0</v>
      </c>
    </row>
    <row r="934" spans="1:19" x14ac:dyDescent="0.35">
      <c r="A934" s="83" t="s">
        <v>1025</v>
      </c>
      <c r="D934" s="83" t="s">
        <v>1240</v>
      </c>
      <c r="F934" s="89">
        <v>85000</v>
      </c>
      <c r="H934" s="89">
        <v>111817</v>
      </c>
      <c r="J934" s="89">
        <v>85000</v>
      </c>
      <c r="K934" s="89"/>
      <c r="M934" s="80">
        <f>+J934/12*3</f>
        <v>21250</v>
      </c>
      <c r="O934" s="103">
        <v>0</v>
      </c>
      <c r="Q934" s="87">
        <f>+M934-O934</f>
        <v>21250</v>
      </c>
      <c r="S934" s="103">
        <v>0</v>
      </c>
    </row>
    <row r="935" spans="1:19" ht="13.9" x14ac:dyDescent="0.35">
      <c r="B935" s="83"/>
      <c r="D935" s="82" t="s">
        <v>1241</v>
      </c>
      <c r="F935" s="93">
        <f>SUM(F933:F934)</f>
        <v>85000</v>
      </c>
      <c r="H935" s="93">
        <f>SUM(H933:H934)</f>
        <v>111817</v>
      </c>
      <c r="J935" s="93">
        <f>SUM(J933:J934)</f>
        <v>85000</v>
      </c>
      <c r="K935" s="138"/>
      <c r="M935" s="93">
        <f>SUM(M933:M934)</f>
        <v>21250</v>
      </c>
      <c r="O935" s="94">
        <f>SUM(O933:O934)</f>
        <v>0</v>
      </c>
      <c r="Q935" s="94">
        <f>SUM(Q933:Q934)</f>
        <v>21250</v>
      </c>
      <c r="S935" s="94">
        <f>SUM(S933:S934)</f>
        <v>0</v>
      </c>
    </row>
    <row r="936" spans="1:19" x14ac:dyDescent="0.35">
      <c r="F936" s="92"/>
      <c r="H936" s="92"/>
      <c r="J936" s="92"/>
      <c r="K936" s="92"/>
      <c r="M936" s="92"/>
      <c r="O936" s="92"/>
      <c r="Q936" s="95"/>
      <c r="S936" s="95"/>
    </row>
    <row r="937" spans="1:19" ht="13.9" x14ac:dyDescent="0.35">
      <c r="D937" s="82" t="s">
        <v>1242</v>
      </c>
      <c r="F937" s="96">
        <f>+F935+F930+F921+F887+F881+F877+F861+F849+F821+F810+F780+F642+F624+F620+F611+F562</f>
        <v>1371239.8840000001</v>
      </c>
      <c r="H937" s="96">
        <f>+H935+H930+H921+H887+H881+H877+H861+H849+H821+H810+H780+H642+H624+H620+H611+H562</f>
        <v>1471023.8840000001</v>
      </c>
      <c r="J937" s="96">
        <f>+J935+J930+J921+J887+J881+J877+J861+J849+J821+J810+J780+J642+J624+J620+J611+J562</f>
        <v>1355875.4155000001</v>
      </c>
      <c r="K937" s="137"/>
      <c r="M937" s="96">
        <f>+M935+M930+M921+M887+M881+M877+M861+M849+M821+M810+M780+M642+M624+M620+M611+M562</f>
        <v>338968.85387500003</v>
      </c>
      <c r="O937" s="96">
        <f>+O935+O930+O921+O887+O881+O877+O861+O849+O821+O810+O780+O642+O624+O620+O611+O562</f>
        <v>338643</v>
      </c>
      <c r="Q937" s="97">
        <f>+Q935+Q930+Q921+Q887+Q881+Q877+Q861+Q849+Q821+Q810+Q780+Q642+Q624+Q620+Q611+Q562</f>
        <v>325.8538750000007</v>
      </c>
      <c r="S937" s="97">
        <f>+S935+S930+S921+S887+S881+S877+S861+S849+S821+S810+S780+S642+S624+S620+S611+S562</f>
        <v>276855</v>
      </c>
    </row>
    <row r="938" spans="1:19" x14ac:dyDescent="0.35">
      <c r="F938" s="92"/>
      <c r="H938" s="92"/>
      <c r="J938" s="92"/>
      <c r="K938" s="92"/>
      <c r="M938" s="92"/>
      <c r="O938" s="92"/>
      <c r="Q938" s="95"/>
      <c r="S938" s="95"/>
    </row>
    <row r="939" spans="1:19" ht="13.9" hidden="1" x14ac:dyDescent="0.35">
      <c r="A939" s="82" t="s">
        <v>1026</v>
      </c>
      <c r="F939" s="92"/>
      <c r="H939" s="92"/>
      <c r="J939" s="92"/>
      <c r="K939" s="92"/>
      <c r="M939" s="92"/>
      <c r="O939" s="92"/>
      <c r="Q939" s="95"/>
      <c r="S939" s="95"/>
    </row>
    <row r="940" spans="1:19" hidden="1" x14ac:dyDescent="0.35">
      <c r="A940" s="83" t="s">
        <v>1027</v>
      </c>
      <c r="D940" s="83" t="s">
        <v>1028</v>
      </c>
      <c r="F940" s="89">
        <v>0</v>
      </c>
      <c r="H940" s="89">
        <v>0</v>
      </c>
      <c r="J940" s="89">
        <v>0</v>
      </c>
      <c r="K940" s="89"/>
      <c r="M940" s="89">
        <v>0</v>
      </c>
      <c r="O940" s="89">
        <v>0</v>
      </c>
      <c r="Q940" s="103">
        <v>0</v>
      </c>
      <c r="S940" s="103">
        <v>0</v>
      </c>
    </row>
    <row r="941" spans="1:19" ht="13.9" hidden="1" x14ac:dyDescent="0.35">
      <c r="B941" s="82" t="s">
        <v>1029</v>
      </c>
      <c r="F941" s="90">
        <f>+F940</f>
        <v>0</v>
      </c>
      <c r="H941" s="90">
        <f>+H940</f>
        <v>0</v>
      </c>
      <c r="J941" s="90">
        <f>+J940</f>
        <v>0</v>
      </c>
      <c r="K941" s="137"/>
      <c r="M941" s="90">
        <f>+M940</f>
        <v>0</v>
      </c>
      <c r="O941" s="90">
        <f>+O940</f>
        <v>0</v>
      </c>
      <c r="Q941" s="91">
        <f>+Q940</f>
        <v>0</v>
      </c>
      <c r="S941" s="91">
        <f>+S940</f>
        <v>0</v>
      </c>
    </row>
    <row r="942" spans="1:19" hidden="1" x14ac:dyDescent="0.35">
      <c r="F942" s="92"/>
      <c r="H942" s="92"/>
      <c r="J942" s="92"/>
      <c r="K942" s="92"/>
      <c r="M942" s="92"/>
      <c r="O942" s="92"/>
      <c r="Q942" s="95"/>
      <c r="S942" s="95"/>
    </row>
    <row r="943" spans="1:19" ht="13.9" hidden="1" x14ac:dyDescent="0.35">
      <c r="A943" s="82" t="s">
        <v>1030</v>
      </c>
      <c r="F943" s="92"/>
      <c r="H943" s="92"/>
      <c r="J943" s="92"/>
      <c r="K943" s="92"/>
      <c r="M943" s="92"/>
      <c r="O943" s="92"/>
      <c r="Q943" s="95"/>
      <c r="S943" s="95"/>
    </row>
    <row r="944" spans="1:19" hidden="1" x14ac:dyDescent="0.35">
      <c r="A944" s="83" t="s">
        <v>1031</v>
      </c>
      <c r="D944" s="83" t="s">
        <v>1032</v>
      </c>
      <c r="F944" s="89">
        <v>0</v>
      </c>
      <c r="H944" s="89">
        <v>0</v>
      </c>
      <c r="J944" s="89">
        <v>0</v>
      </c>
      <c r="K944" s="89"/>
      <c r="M944" s="89">
        <v>0</v>
      </c>
      <c r="O944" s="89">
        <v>0</v>
      </c>
      <c r="Q944" s="103">
        <v>0</v>
      </c>
      <c r="S944" s="103">
        <v>0</v>
      </c>
    </row>
    <row r="945" spans="1:19" ht="13.9" hidden="1" x14ac:dyDescent="0.35">
      <c r="B945" s="82" t="s">
        <v>1033</v>
      </c>
      <c r="F945" s="90">
        <f>+F944</f>
        <v>0</v>
      </c>
      <c r="H945" s="90">
        <f>+H944</f>
        <v>0</v>
      </c>
      <c r="J945" s="90">
        <f>+J944</f>
        <v>0</v>
      </c>
      <c r="K945" s="137"/>
      <c r="M945" s="90">
        <f>+M944</f>
        <v>0</v>
      </c>
      <c r="O945" s="90">
        <f>+O944</f>
        <v>0</v>
      </c>
      <c r="Q945" s="91">
        <f>+Q944</f>
        <v>0</v>
      </c>
      <c r="S945" s="91">
        <f>+S944</f>
        <v>0</v>
      </c>
    </row>
    <row r="946" spans="1:19" hidden="1" x14ac:dyDescent="0.35">
      <c r="F946" s="92"/>
      <c r="H946" s="92"/>
      <c r="J946" s="92"/>
      <c r="K946" s="92"/>
      <c r="M946" s="92"/>
      <c r="O946" s="92"/>
      <c r="Q946" s="95"/>
      <c r="S946" s="95"/>
    </row>
    <row r="947" spans="1:19" x14ac:dyDescent="0.35">
      <c r="F947" s="92"/>
      <c r="H947" s="92"/>
      <c r="J947" s="92"/>
      <c r="K947" s="92"/>
      <c r="M947" s="92"/>
      <c r="O947" s="92"/>
      <c r="Q947" s="95"/>
      <c r="S947" s="95"/>
    </row>
    <row r="948" spans="1:19" ht="13.9" x14ac:dyDescent="0.4">
      <c r="D948" s="119" t="s">
        <v>1386</v>
      </c>
      <c r="F948" s="120">
        <v>25000</v>
      </c>
      <c r="H948" s="120">
        <v>0</v>
      </c>
      <c r="J948" s="120">
        <v>0</v>
      </c>
      <c r="K948" s="139"/>
      <c r="M948" s="131">
        <f>+J948/12*3</f>
        <v>0</v>
      </c>
      <c r="O948" s="120">
        <v>0</v>
      </c>
      <c r="Q948" s="132">
        <f>+M948-O948</f>
        <v>0</v>
      </c>
      <c r="S948" s="127">
        <v>0</v>
      </c>
    </row>
    <row r="949" spans="1:19" x14ac:dyDescent="0.35">
      <c r="F949" s="92"/>
      <c r="H949" s="92"/>
      <c r="J949" s="92"/>
      <c r="K949" s="92"/>
      <c r="M949" s="92"/>
      <c r="O949" s="92"/>
      <c r="Q949" s="95"/>
      <c r="S949" s="95"/>
    </row>
    <row r="950" spans="1:19" x14ac:dyDescent="0.35">
      <c r="F950" s="92"/>
      <c r="H950" s="92"/>
      <c r="J950" s="92"/>
      <c r="K950" s="92"/>
      <c r="M950" s="92"/>
      <c r="O950" s="92"/>
      <c r="Q950" s="95"/>
      <c r="S950" s="95"/>
    </row>
    <row r="951" spans="1:19" ht="13.9" x14ac:dyDescent="0.35">
      <c r="D951" s="116" t="s">
        <v>2169</v>
      </c>
      <c r="F951" s="92"/>
      <c r="H951" s="92"/>
      <c r="J951" s="92"/>
      <c r="K951" s="92"/>
      <c r="M951" s="92"/>
      <c r="O951" s="92"/>
      <c r="Q951" s="95"/>
      <c r="S951" s="95"/>
    </row>
    <row r="952" spans="1:19" x14ac:dyDescent="0.35">
      <c r="A952" s="83" t="s">
        <v>1034</v>
      </c>
      <c r="D952" s="83" t="s">
        <v>1035</v>
      </c>
      <c r="F952" s="89">
        <v>60000</v>
      </c>
      <c r="H952" s="89">
        <f>38719-8</f>
        <v>38711</v>
      </c>
      <c r="J952" s="89">
        <v>115000</v>
      </c>
      <c r="K952" s="89"/>
      <c r="M952" s="80">
        <f>+J952/12*3</f>
        <v>28750</v>
      </c>
      <c r="O952" s="103">
        <v>-2000</v>
      </c>
      <c r="Q952" s="87">
        <f>+M952-O952</f>
        <v>30750</v>
      </c>
      <c r="S952" s="103">
        <v>0</v>
      </c>
    </row>
    <row r="953" spans="1:19" ht="13.9" x14ac:dyDescent="0.35">
      <c r="D953" s="82" t="s">
        <v>1243</v>
      </c>
      <c r="F953" s="90">
        <f>+F952</f>
        <v>60000</v>
      </c>
      <c r="H953" s="90">
        <f>+H952</f>
        <v>38711</v>
      </c>
      <c r="J953" s="90">
        <f>+J952</f>
        <v>115000</v>
      </c>
      <c r="K953" s="137"/>
      <c r="M953" s="90">
        <f>+M952</f>
        <v>28750</v>
      </c>
      <c r="O953" s="90">
        <f>+O952</f>
        <v>-2000</v>
      </c>
      <c r="Q953" s="91">
        <f>+Q952</f>
        <v>30750</v>
      </c>
      <c r="S953" s="91">
        <f>+S952</f>
        <v>0</v>
      </c>
    </row>
    <row r="954" spans="1:19" x14ac:dyDescent="0.35">
      <c r="F954" s="92"/>
      <c r="H954" s="92"/>
      <c r="J954" s="92"/>
      <c r="K954" s="92"/>
      <c r="M954" s="92"/>
      <c r="O954" s="92"/>
      <c r="Q954" s="95"/>
      <c r="S954" s="95"/>
    </row>
    <row r="955" spans="1:19" ht="13.9" x14ac:dyDescent="0.35">
      <c r="D955" s="82" t="s">
        <v>1036</v>
      </c>
      <c r="F955" s="96">
        <f>+F953+F945+F941+F937+F557+F304+F177+F113+F57+F948</f>
        <v>3862721.8863333333</v>
      </c>
      <c r="H955" s="96">
        <f>+H953+H945+H941+H937+H557+H304+H177+H113+H57+H948</f>
        <v>3804111.1030000001</v>
      </c>
      <c r="J955" s="96">
        <f>+J953+J945+J941+J937+J557+J304+J177+J113+J57+J948</f>
        <v>3984029.6535647102</v>
      </c>
      <c r="K955" s="137"/>
      <c r="M955" s="96">
        <f>+M953+M945+M941+M937+M557+M304+M177+M113+M57+M948</f>
        <v>996007.41339117754</v>
      </c>
      <c r="O955" s="96">
        <f>+O953+O945+O941+O937+O557+O304+O177+O113+O57+O948</f>
        <v>917587</v>
      </c>
      <c r="Q955" s="97">
        <f>+Q953+Q945+Q941+Q937+Q557+Q304+Q177+Q113+Q57+Q948</f>
        <v>83923.413391177455</v>
      </c>
      <c r="S955" s="97">
        <f>+S953+S945+S941+S937+S557+S304+S177+S113+S57+S948</f>
        <v>796622</v>
      </c>
    </row>
    <row r="956" spans="1:19" x14ac:dyDescent="0.35">
      <c r="F956" s="92"/>
      <c r="H956" s="92"/>
      <c r="J956" s="92"/>
      <c r="K956" s="92"/>
      <c r="M956" s="92"/>
      <c r="O956" s="92"/>
      <c r="Q956" s="95"/>
      <c r="S956" s="95"/>
    </row>
    <row r="957" spans="1:19" x14ac:dyDescent="0.35">
      <c r="F957" s="92"/>
      <c r="H957" s="92"/>
      <c r="J957" s="92"/>
      <c r="K957" s="92"/>
      <c r="M957" s="92"/>
      <c r="O957" s="92"/>
      <c r="Q957" s="95"/>
      <c r="S957" s="95"/>
    </row>
    <row r="958" spans="1:19" ht="14.25" thickBot="1" x14ac:dyDescent="0.4">
      <c r="D958" s="82" t="s">
        <v>1037</v>
      </c>
      <c r="F958" s="105">
        <f>+F14-F955</f>
        <v>0.11366666667163372</v>
      </c>
      <c r="H958" s="105">
        <f>+H14-H955</f>
        <v>-180415.10300000012</v>
      </c>
      <c r="J958" s="105">
        <f>+J14-J955</f>
        <v>0.34643528982996941</v>
      </c>
      <c r="K958" s="137"/>
      <c r="M958" s="105">
        <f>+M14-M955</f>
        <v>8.6608822457492352E-2</v>
      </c>
      <c r="O958" s="105">
        <f>+O14-O955</f>
        <v>-14192</v>
      </c>
      <c r="Q958" s="128">
        <f>+Q14-Q955</f>
        <v>8689.0866088225448</v>
      </c>
      <c r="S958" s="128">
        <f>+S14-S955</f>
        <v>145168</v>
      </c>
    </row>
    <row r="959" spans="1:19" ht="13.9" thickTop="1" x14ac:dyDescent="0.35">
      <c r="F959" s="92"/>
      <c r="H959" s="92"/>
      <c r="J959" s="92"/>
      <c r="K959" s="92"/>
      <c r="M959" s="92"/>
      <c r="O959" s="92"/>
      <c r="Q959" s="95"/>
      <c r="S959" s="95"/>
    </row>
    <row r="960" spans="1:19" x14ac:dyDescent="0.35">
      <c r="F960" s="92"/>
      <c r="H960" s="92"/>
      <c r="J960" s="92"/>
      <c r="K960" s="92"/>
      <c r="M960" s="92"/>
      <c r="O960" s="92"/>
      <c r="Q960" s="95"/>
      <c r="S960" s="95"/>
    </row>
    <row r="961" spans="6:19" x14ac:dyDescent="0.35">
      <c r="F961" s="92"/>
      <c r="H961" s="92"/>
      <c r="J961" s="92"/>
      <c r="K961" s="92"/>
      <c r="M961" s="92"/>
      <c r="O961" s="92"/>
      <c r="Q961" s="95"/>
      <c r="S961" s="95"/>
    </row>
    <row r="962" spans="6:19" x14ac:dyDescent="0.35">
      <c r="F962" s="92"/>
      <c r="H962" s="92"/>
      <c r="J962" s="92"/>
      <c r="K962" s="92"/>
      <c r="M962" s="92"/>
      <c r="O962" s="92"/>
      <c r="Q962" s="95"/>
      <c r="S962" s="95"/>
    </row>
    <row r="963" spans="6:19" x14ac:dyDescent="0.35">
      <c r="F963" s="92"/>
      <c r="H963" s="92"/>
      <c r="J963" s="92"/>
      <c r="K963" s="92"/>
      <c r="M963" s="92"/>
      <c r="O963" s="92"/>
      <c r="Q963" s="95"/>
      <c r="S963" s="95"/>
    </row>
    <row r="964" spans="6:19" x14ac:dyDescent="0.35">
      <c r="F964" s="92"/>
      <c r="H964" s="92"/>
      <c r="J964" s="92"/>
      <c r="K964" s="92"/>
      <c r="M964" s="92"/>
      <c r="O964" s="92"/>
      <c r="Q964" s="95"/>
      <c r="S964" s="95"/>
    </row>
    <row r="965" spans="6:19" x14ac:dyDescent="0.35">
      <c r="F965" s="92"/>
      <c r="H965" s="92"/>
      <c r="J965" s="92"/>
      <c r="K965" s="92"/>
      <c r="M965" s="92"/>
      <c r="O965" s="92"/>
      <c r="Q965" s="95"/>
      <c r="S965" s="95"/>
    </row>
    <row r="966" spans="6:19" x14ac:dyDescent="0.35">
      <c r="F966" s="92"/>
      <c r="H966" s="92"/>
      <c r="J966" s="92"/>
      <c r="K966" s="92"/>
      <c r="M966" s="92"/>
      <c r="O966" s="92"/>
      <c r="Q966" s="95"/>
      <c r="S966" s="95"/>
    </row>
    <row r="967" spans="6:19" x14ac:dyDescent="0.35">
      <c r="F967" s="92"/>
      <c r="H967" s="92"/>
      <c r="J967" s="92"/>
      <c r="K967" s="92"/>
      <c r="M967" s="92"/>
      <c r="O967" s="92"/>
      <c r="Q967" s="95"/>
      <c r="S967" s="95"/>
    </row>
    <row r="968" spans="6:19" x14ac:dyDescent="0.35">
      <c r="F968" s="92"/>
      <c r="H968" s="92"/>
      <c r="J968" s="92"/>
      <c r="K968" s="92"/>
      <c r="M968" s="92"/>
      <c r="O968" s="92"/>
      <c r="Q968" s="95"/>
      <c r="S968" s="95"/>
    </row>
    <row r="969" spans="6:19" x14ac:dyDescent="0.35">
      <c r="F969" s="92"/>
      <c r="H969" s="92"/>
      <c r="J969" s="92"/>
      <c r="K969" s="92"/>
      <c r="M969" s="92"/>
      <c r="O969" s="92"/>
      <c r="Q969" s="95"/>
      <c r="S969" s="95"/>
    </row>
    <row r="970" spans="6:19" x14ac:dyDescent="0.35">
      <c r="F970" s="92"/>
      <c r="H970" s="92"/>
      <c r="J970" s="92"/>
      <c r="K970" s="92"/>
      <c r="M970" s="92"/>
      <c r="O970" s="92"/>
      <c r="Q970" s="95"/>
      <c r="S970" s="95"/>
    </row>
    <row r="971" spans="6:19" x14ac:dyDescent="0.35">
      <c r="F971" s="92"/>
      <c r="H971" s="92"/>
      <c r="J971" s="92"/>
      <c r="K971" s="92"/>
      <c r="M971" s="92"/>
      <c r="O971" s="92"/>
      <c r="Q971" s="95"/>
      <c r="S971" s="95"/>
    </row>
    <row r="972" spans="6:19" x14ac:dyDescent="0.35">
      <c r="F972" s="92"/>
      <c r="H972" s="92"/>
      <c r="J972" s="92"/>
      <c r="K972" s="92"/>
      <c r="M972" s="92"/>
      <c r="O972" s="92"/>
      <c r="Q972" s="95"/>
      <c r="S972" s="95"/>
    </row>
    <row r="973" spans="6:19" x14ac:dyDescent="0.35">
      <c r="F973" s="92"/>
      <c r="H973" s="92"/>
      <c r="J973" s="92"/>
      <c r="K973" s="92"/>
      <c r="M973" s="92"/>
      <c r="O973" s="92"/>
      <c r="Q973" s="95"/>
      <c r="S973" s="95"/>
    </row>
    <row r="974" spans="6:19" x14ac:dyDescent="0.35">
      <c r="F974" s="92"/>
      <c r="H974" s="92"/>
      <c r="J974" s="92"/>
      <c r="K974" s="92"/>
      <c r="M974" s="92"/>
      <c r="O974" s="92"/>
      <c r="Q974" s="95"/>
      <c r="S974" s="95"/>
    </row>
    <row r="975" spans="6:19" x14ac:dyDescent="0.35">
      <c r="F975" s="92"/>
      <c r="H975" s="92"/>
      <c r="J975" s="92"/>
      <c r="K975" s="92"/>
      <c r="M975" s="92"/>
      <c r="O975" s="92"/>
      <c r="Q975" s="95"/>
      <c r="S975" s="95"/>
    </row>
    <row r="976" spans="6:19" x14ac:dyDescent="0.35">
      <c r="F976" s="92"/>
      <c r="H976" s="92"/>
      <c r="J976" s="92"/>
      <c r="K976" s="92"/>
      <c r="M976" s="92"/>
      <c r="O976" s="92"/>
      <c r="Q976" s="95"/>
      <c r="S976" s="95"/>
    </row>
    <row r="977" spans="6:19" x14ac:dyDescent="0.35">
      <c r="F977" s="92"/>
      <c r="H977" s="92"/>
      <c r="J977" s="92"/>
      <c r="K977" s="92"/>
      <c r="M977" s="92"/>
      <c r="O977" s="92"/>
      <c r="Q977" s="95"/>
      <c r="S977" s="95"/>
    </row>
    <row r="978" spans="6:19" x14ac:dyDescent="0.35">
      <c r="F978" s="92"/>
      <c r="H978" s="92"/>
      <c r="J978" s="92"/>
      <c r="K978" s="92"/>
      <c r="M978" s="92"/>
      <c r="O978" s="92"/>
      <c r="Q978" s="95"/>
      <c r="S978" s="95"/>
    </row>
    <row r="979" spans="6:19" x14ac:dyDescent="0.35">
      <c r="F979" s="92"/>
      <c r="H979" s="92"/>
      <c r="J979" s="92"/>
      <c r="K979" s="92"/>
      <c r="M979" s="92"/>
      <c r="O979" s="92"/>
      <c r="Q979" s="95"/>
      <c r="S979" s="95"/>
    </row>
    <row r="980" spans="6:19" x14ac:dyDescent="0.35">
      <c r="F980" s="92"/>
      <c r="H980" s="92"/>
      <c r="J980" s="92"/>
      <c r="K980" s="92"/>
      <c r="M980" s="92"/>
      <c r="O980" s="92"/>
      <c r="Q980" s="95"/>
      <c r="S980" s="95"/>
    </row>
    <row r="981" spans="6:19" x14ac:dyDescent="0.35">
      <c r="F981" s="92"/>
      <c r="H981" s="92"/>
      <c r="J981" s="92"/>
      <c r="K981" s="92"/>
      <c r="M981" s="92"/>
      <c r="O981" s="92"/>
      <c r="Q981" s="95"/>
      <c r="S981" s="95"/>
    </row>
    <row r="982" spans="6:19" x14ac:dyDescent="0.35">
      <c r="F982" s="92"/>
      <c r="H982" s="92"/>
      <c r="J982" s="92"/>
      <c r="K982" s="92"/>
      <c r="M982" s="92"/>
      <c r="O982" s="92"/>
      <c r="Q982" s="95"/>
      <c r="S982" s="95"/>
    </row>
    <row r="983" spans="6:19" x14ac:dyDescent="0.35">
      <c r="F983" s="92"/>
      <c r="H983" s="92"/>
      <c r="J983" s="92"/>
      <c r="K983" s="92"/>
      <c r="M983" s="92"/>
      <c r="O983" s="92"/>
      <c r="Q983" s="95"/>
      <c r="S983" s="95"/>
    </row>
    <row r="984" spans="6:19" x14ac:dyDescent="0.35">
      <c r="F984" s="92"/>
      <c r="H984" s="92"/>
      <c r="J984" s="92"/>
      <c r="K984" s="92"/>
      <c r="M984" s="92"/>
      <c r="O984" s="92"/>
      <c r="Q984" s="95"/>
      <c r="S984" s="95"/>
    </row>
    <row r="985" spans="6:19" x14ac:dyDescent="0.35">
      <c r="F985" s="92"/>
      <c r="H985" s="92"/>
      <c r="J985" s="92"/>
      <c r="K985" s="92"/>
      <c r="M985" s="92"/>
      <c r="O985" s="92"/>
      <c r="Q985" s="95"/>
      <c r="S985" s="95"/>
    </row>
    <row r="986" spans="6:19" x14ac:dyDescent="0.35">
      <c r="F986" s="92"/>
      <c r="H986" s="92"/>
      <c r="J986" s="92"/>
      <c r="K986" s="92"/>
      <c r="M986" s="92"/>
      <c r="O986" s="92"/>
      <c r="Q986" s="95"/>
      <c r="S986" s="95"/>
    </row>
    <row r="987" spans="6:19" x14ac:dyDescent="0.35">
      <c r="F987" s="92"/>
      <c r="H987" s="92"/>
      <c r="J987" s="92"/>
      <c r="K987" s="92"/>
      <c r="M987" s="92"/>
      <c r="O987" s="92"/>
      <c r="Q987" s="95"/>
      <c r="S987" s="95"/>
    </row>
    <row r="988" spans="6:19" x14ac:dyDescent="0.35">
      <c r="F988" s="92"/>
      <c r="H988" s="92"/>
      <c r="J988" s="92"/>
      <c r="K988" s="92"/>
      <c r="M988" s="92"/>
      <c r="O988" s="92"/>
      <c r="Q988" s="95"/>
      <c r="S988" s="95"/>
    </row>
    <row r="989" spans="6:19" x14ac:dyDescent="0.35">
      <c r="F989" s="92"/>
      <c r="H989" s="92"/>
      <c r="J989" s="92"/>
      <c r="K989" s="92"/>
      <c r="M989" s="92"/>
      <c r="O989" s="92"/>
      <c r="Q989" s="95"/>
      <c r="S989" s="95"/>
    </row>
    <row r="990" spans="6:19" x14ac:dyDescent="0.35">
      <c r="F990" s="92"/>
      <c r="H990" s="92"/>
      <c r="J990" s="92"/>
      <c r="K990" s="92"/>
      <c r="M990" s="92"/>
      <c r="O990" s="92"/>
      <c r="Q990" s="95"/>
      <c r="S990" s="95"/>
    </row>
    <row r="991" spans="6:19" x14ac:dyDescent="0.35">
      <c r="F991" s="92"/>
      <c r="H991" s="92"/>
      <c r="J991" s="92"/>
      <c r="K991" s="92"/>
      <c r="M991" s="92"/>
      <c r="O991" s="92"/>
      <c r="Q991" s="95"/>
      <c r="S991" s="95"/>
    </row>
    <row r="992" spans="6:19" x14ac:dyDescent="0.35">
      <c r="F992" s="92"/>
      <c r="H992" s="92"/>
      <c r="J992" s="92"/>
      <c r="K992" s="92"/>
      <c r="M992" s="92"/>
      <c r="O992" s="92"/>
      <c r="Q992" s="95"/>
      <c r="S992" s="95"/>
    </row>
    <row r="993" spans="6:19" x14ac:dyDescent="0.35">
      <c r="F993" s="92"/>
      <c r="H993" s="92"/>
      <c r="J993" s="92"/>
      <c r="K993" s="92"/>
      <c r="M993" s="92"/>
      <c r="O993" s="92"/>
      <c r="Q993" s="95"/>
      <c r="S993" s="95"/>
    </row>
    <row r="994" spans="6:19" x14ac:dyDescent="0.35">
      <c r="F994" s="92"/>
      <c r="H994" s="92"/>
      <c r="J994" s="92"/>
      <c r="K994" s="92"/>
      <c r="M994" s="92"/>
      <c r="O994" s="92"/>
      <c r="Q994" s="95"/>
      <c r="S994" s="95"/>
    </row>
    <row r="995" spans="6:19" x14ac:dyDescent="0.35">
      <c r="F995" s="92"/>
      <c r="H995" s="92"/>
      <c r="J995" s="92"/>
      <c r="K995" s="92"/>
      <c r="M995" s="92"/>
      <c r="O995" s="92"/>
      <c r="Q995" s="95"/>
      <c r="S995" s="95"/>
    </row>
    <row r="996" spans="6:19" x14ac:dyDescent="0.35">
      <c r="F996" s="92"/>
      <c r="H996" s="92"/>
      <c r="J996" s="92"/>
      <c r="K996" s="92"/>
      <c r="M996" s="92"/>
      <c r="O996" s="92"/>
      <c r="Q996" s="95"/>
      <c r="S996" s="95"/>
    </row>
    <row r="997" spans="6:19" x14ac:dyDescent="0.35">
      <c r="F997" s="92"/>
      <c r="H997" s="92"/>
      <c r="J997" s="92"/>
      <c r="K997" s="92"/>
      <c r="M997" s="92"/>
      <c r="O997" s="92"/>
      <c r="Q997" s="95"/>
      <c r="S997" s="95"/>
    </row>
    <row r="998" spans="6:19" x14ac:dyDescent="0.35">
      <c r="F998" s="92"/>
      <c r="H998" s="92"/>
      <c r="J998" s="92"/>
      <c r="K998" s="92"/>
      <c r="M998" s="92"/>
      <c r="O998" s="92"/>
      <c r="Q998" s="95"/>
      <c r="S998" s="95"/>
    </row>
    <row r="999" spans="6:19" x14ac:dyDescent="0.35">
      <c r="F999" s="92"/>
      <c r="H999" s="92"/>
      <c r="J999" s="92"/>
      <c r="K999" s="92"/>
      <c r="M999" s="92"/>
      <c r="O999" s="92"/>
      <c r="Q999" s="95"/>
      <c r="S999" s="95"/>
    </row>
    <row r="1000" spans="6:19" x14ac:dyDescent="0.35">
      <c r="F1000" s="92"/>
      <c r="H1000" s="92"/>
      <c r="J1000" s="92"/>
      <c r="K1000" s="92"/>
      <c r="M1000" s="92"/>
      <c r="O1000" s="92"/>
      <c r="Q1000" s="95"/>
      <c r="S1000" s="95"/>
    </row>
    <row r="1001" spans="6:19" x14ac:dyDescent="0.35">
      <c r="F1001" s="92"/>
      <c r="H1001" s="92"/>
      <c r="J1001" s="92"/>
      <c r="K1001" s="92"/>
      <c r="M1001" s="92"/>
      <c r="O1001" s="92"/>
      <c r="Q1001" s="95"/>
      <c r="S1001" s="95"/>
    </row>
    <row r="1002" spans="6:19" x14ac:dyDescent="0.35">
      <c r="F1002" s="92"/>
      <c r="H1002" s="92"/>
      <c r="J1002" s="92"/>
      <c r="K1002" s="92"/>
      <c r="M1002" s="92"/>
      <c r="O1002" s="92"/>
      <c r="Q1002" s="95"/>
      <c r="S1002" s="95"/>
    </row>
    <row r="1003" spans="6:19" x14ac:dyDescent="0.35">
      <c r="F1003" s="92"/>
      <c r="H1003" s="92"/>
      <c r="J1003" s="92"/>
      <c r="K1003" s="92"/>
      <c r="M1003" s="92"/>
      <c r="O1003" s="92"/>
      <c r="Q1003" s="95"/>
      <c r="S1003" s="95"/>
    </row>
    <row r="1004" spans="6:19" x14ac:dyDescent="0.35">
      <c r="F1004" s="92"/>
      <c r="H1004" s="92"/>
      <c r="J1004" s="92"/>
      <c r="K1004" s="92"/>
      <c r="M1004" s="92"/>
      <c r="O1004" s="92"/>
      <c r="Q1004" s="95"/>
      <c r="S1004" s="95"/>
    </row>
    <row r="1005" spans="6:19" x14ac:dyDescent="0.35">
      <c r="F1005" s="92"/>
      <c r="H1005" s="92"/>
      <c r="J1005" s="92"/>
      <c r="K1005" s="92"/>
      <c r="M1005" s="92"/>
      <c r="O1005" s="92"/>
      <c r="Q1005" s="95"/>
      <c r="S1005" s="95"/>
    </row>
    <row r="1006" spans="6:19" x14ac:dyDescent="0.35">
      <c r="F1006" s="92"/>
      <c r="H1006" s="92"/>
      <c r="J1006" s="92"/>
      <c r="K1006" s="92"/>
      <c r="M1006" s="92"/>
      <c r="O1006" s="92"/>
      <c r="Q1006" s="95"/>
      <c r="S1006" s="95"/>
    </row>
    <row r="1007" spans="6:19" x14ac:dyDescent="0.35">
      <c r="F1007" s="92"/>
      <c r="H1007" s="92"/>
      <c r="J1007" s="92"/>
      <c r="K1007" s="92"/>
      <c r="M1007" s="92"/>
      <c r="O1007" s="92"/>
      <c r="Q1007" s="95"/>
      <c r="S1007" s="95"/>
    </row>
    <row r="1008" spans="6:19" x14ac:dyDescent="0.35">
      <c r="F1008" s="92"/>
      <c r="H1008" s="92"/>
      <c r="J1008" s="92"/>
      <c r="K1008" s="92"/>
      <c r="M1008" s="92"/>
      <c r="O1008" s="92"/>
      <c r="Q1008" s="95"/>
      <c r="S1008" s="95"/>
    </row>
    <row r="1009" spans="6:19" x14ac:dyDescent="0.35">
      <c r="F1009" s="92"/>
      <c r="H1009" s="92"/>
      <c r="J1009" s="92"/>
      <c r="K1009" s="92"/>
      <c r="M1009" s="92"/>
      <c r="O1009" s="92"/>
      <c r="Q1009" s="95"/>
      <c r="S1009" s="95"/>
    </row>
    <row r="1010" spans="6:19" x14ac:dyDescent="0.35">
      <c r="F1010" s="92"/>
      <c r="H1010" s="92"/>
      <c r="J1010" s="92"/>
      <c r="K1010" s="92"/>
      <c r="M1010" s="92"/>
      <c r="O1010" s="92"/>
      <c r="Q1010" s="95"/>
      <c r="S1010" s="95"/>
    </row>
    <row r="1011" spans="6:19" x14ac:dyDescent="0.35">
      <c r="F1011" s="92"/>
      <c r="H1011" s="92"/>
      <c r="J1011" s="92"/>
      <c r="K1011" s="92"/>
      <c r="M1011" s="92"/>
      <c r="O1011" s="92"/>
      <c r="Q1011" s="95"/>
      <c r="S1011" s="95"/>
    </row>
    <row r="1012" spans="6:19" x14ac:dyDescent="0.35">
      <c r="F1012" s="92"/>
      <c r="H1012" s="92"/>
      <c r="J1012" s="92"/>
      <c r="K1012" s="92"/>
      <c r="M1012" s="92"/>
      <c r="O1012" s="92"/>
      <c r="Q1012" s="95"/>
      <c r="S1012" s="95"/>
    </row>
    <row r="1013" spans="6:19" x14ac:dyDescent="0.35">
      <c r="F1013" s="92"/>
      <c r="H1013" s="92"/>
      <c r="J1013" s="92"/>
      <c r="K1013" s="92"/>
      <c r="M1013" s="92"/>
      <c r="O1013" s="92"/>
      <c r="Q1013" s="95"/>
      <c r="S1013" s="95"/>
    </row>
    <row r="1014" spans="6:19" x14ac:dyDescent="0.35">
      <c r="F1014" s="92"/>
      <c r="H1014" s="92"/>
      <c r="J1014" s="92"/>
      <c r="K1014" s="92"/>
      <c r="M1014" s="92"/>
      <c r="O1014" s="92"/>
      <c r="Q1014" s="95"/>
      <c r="S1014" s="95"/>
    </row>
    <row r="1015" spans="6:19" x14ac:dyDescent="0.35">
      <c r="F1015" s="92"/>
      <c r="H1015" s="92"/>
      <c r="J1015" s="92"/>
      <c r="K1015" s="92"/>
      <c r="M1015" s="92"/>
      <c r="O1015" s="92"/>
      <c r="Q1015" s="95"/>
      <c r="S1015" s="95"/>
    </row>
    <row r="1016" spans="6:19" x14ac:dyDescent="0.35">
      <c r="F1016" s="92"/>
      <c r="H1016" s="92"/>
      <c r="J1016" s="92"/>
      <c r="K1016" s="92"/>
      <c r="M1016" s="92"/>
      <c r="O1016" s="92"/>
      <c r="Q1016" s="95"/>
      <c r="S1016" s="95"/>
    </row>
    <row r="1017" spans="6:19" x14ac:dyDescent="0.35">
      <c r="F1017" s="92"/>
      <c r="H1017" s="92"/>
      <c r="J1017" s="92"/>
      <c r="K1017" s="92"/>
      <c r="M1017" s="92"/>
      <c r="O1017" s="92"/>
      <c r="Q1017" s="95"/>
      <c r="S1017" s="95"/>
    </row>
    <row r="1018" spans="6:19" x14ac:dyDescent="0.35">
      <c r="F1018" s="92"/>
      <c r="H1018" s="92"/>
      <c r="J1018" s="92"/>
      <c r="K1018" s="92"/>
      <c r="M1018" s="92"/>
      <c r="O1018" s="92"/>
      <c r="Q1018" s="95"/>
      <c r="S1018" s="95"/>
    </row>
    <row r="1019" spans="6:19" x14ac:dyDescent="0.35">
      <c r="F1019" s="92"/>
      <c r="H1019" s="92"/>
      <c r="J1019" s="92"/>
      <c r="K1019" s="92"/>
      <c r="M1019" s="92"/>
      <c r="O1019" s="92"/>
      <c r="Q1019" s="95"/>
      <c r="S1019" s="95"/>
    </row>
    <row r="1020" spans="6:19" x14ac:dyDescent="0.35">
      <c r="F1020" s="92"/>
      <c r="H1020" s="92"/>
      <c r="J1020" s="92"/>
      <c r="K1020" s="92"/>
      <c r="M1020" s="92"/>
      <c r="O1020" s="92"/>
      <c r="Q1020" s="95"/>
      <c r="S1020" s="95"/>
    </row>
    <row r="1021" spans="6:19" x14ac:dyDescent="0.35">
      <c r="F1021" s="92"/>
      <c r="H1021" s="92"/>
      <c r="J1021" s="92"/>
      <c r="K1021" s="92"/>
      <c r="M1021" s="92"/>
      <c r="O1021" s="92"/>
      <c r="Q1021" s="95"/>
      <c r="S1021" s="95"/>
    </row>
    <row r="1022" spans="6:19" x14ac:dyDescent="0.35">
      <c r="F1022" s="92"/>
      <c r="H1022" s="92"/>
      <c r="J1022" s="92"/>
      <c r="K1022" s="92"/>
      <c r="M1022" s="92"/>
      <c r="O1022" s="92"/>
      <c r="Q1022" s="95"/>
      <c r="S1022" s="95"/>
    </row>
    <row r="1023" spans="6:19" x14ac:dyDescent="0.35">
      <c r="F1023" s="92"/>
      <c r="H1023" s="92"/>
      <c r="J1023" s="92"/>
      <c r="K1023" s="92"/>
      <c r="M1023" s="92"/>
      <c r="O1023" s="92"/>
      <c r="Q1023" s="95"/>
      <c r="S1023" s="95"/>
    </row>
    <row r="1024" spans="6:19" x14ac:dyDescent="0.35">
      <c r="F1024" s="92"/>
      <c r="H1024" s="92"/>
      <c r="J1024" s="92"/>
      <c r="K1024" s="92"/>
      <c r="M1024" s="92"/>
      <c r="O1024" s="92"/>
      <c r="Q1024" s="95"/>
      <c r="S1024" s="95"/>
    </row>
    <row r="1025" spans="6:19" x14ac:dyDescent="0.35">
      <c r="F1025" s="92"/>
      <c r="H1025" s="92"/>
      <c r="J1025" s="92"/>
      <c r="K1025" s="92"/>
      <c r="M1025" s="92"/>
      <c r="O1025" s="92"/>
      <c r="Q1025" s="95"/>
      <c r="S1025" s="95"/>
    </row>
    <row r="1026" spans="6:19" x14ac:dyDescent="0.35">
      <c r="F1026" s="92"/>
      <c r="H1026" s="92"/>
      <c r="J1026" s="92"/>
      <c r="K1026" s="92"/>
      <c r="M1026" s="92"/>
      <c r="O1026" s="92"/>
      <c r="Q1026" s="95"/>
      <c r="S1026" s="95"/>
    </row>
    <row r="1027" spans="6:19" x14ac:dyDescent="0.35">
      <c r="F1027" s="92"/>
      <c r="H1027" s="92"/>
      <c r="J1027" s="92"/>
      <c r="K1027" s="92"/>
      <c r="M1027" s="92"/>
      <c r="O1027" s="92"/>
      <c r="Q1027" s="95"/>
      <c r="S1027" s="95"/>
    </row>
    <row r="1028" spans="6:19" x14ac:dyDescent="0.35">
      <c r="F1028" s="92"/>
      <c r="H1028" s="92"/>
      <c r="J1028" s="92"/>
      <c r="K1028" s="92"/>
      <c r="M1028" s="92"/>
      <c r="O1028" s="92"/>
      <c r="Q1028" s="95"/>
      <c r="S1028" s="95"/>
    </row>
    <row r="1029" spans="6:19" x14ac:dyDescent="0.35">
      <c r="F1029" s="92"/>
      <c r="H1029" s="92"/>
      <c r="J1029" s="92"/>
      <c r="K1029" s="92"/>
      <c r="M1029" s="92"/>
      <c r="O1029" s="92"/>
      <c r="Q1029" s="95"/>
      <c r="S1029" s="95"/>
    </row>
    <row r="1030" spans="6:19" x14ac:dyDescent="0.35">
      <c r="F1030" s="92"/>
      <c r="H1030" s="92"/>
      <c r="J1030" s="92"/>
      <c r="K1030" s="92"/>
      <c r="M1030" s="92"/>
      <c r="O1030" s="92"/>
      <c r="Q1030" s="95"/>
      <c r="S1030" s="95"/>
    </row>
    <row r="1031" spans="6:19" x14ac:dyDescent="0.35">
      <c r="F1031" s="92"/>
      <c r="H1031" s="92"/>
      <c r="J1031" s="92"/>
      <c r="K1031" s="92"/>
      <c r="M1031" s="92"/>
      <c r="O1031" s="92"/>
      <c r="Q1031" s="95"/>
      <c r="S1031" s="95"/>
    </row>
    <row r="1032" spans="6:19" x14ac:dyDescent="0.35">
      <c r="F1032" s="92"/>
      <c r="H1032" s="92"/>
      <c r="J1032" s="92"/>
      <c r="K1032" s="92"/>
      <c r="M1032" s="92"/>
      <c r="O1032" s="92"/>
      <c r="Q1032" s="95"/>
      <c r="S1032" s="95"/>
    </row>
    <row r="1033" spans="6:19" x14ac:dyDescent="0.35">
      <c r="F1033" s="92"/>
      <c r="H1033" s="92"/>
      <c r="J1033" s="92"/>
      <c r="K1033" s="92"/>
      <c r="M1033" s="92"/>
      <c r="O1033" s="92"/>
      <c r="Q1033" s="95"/>
      <c r="S1033" s="95"/>
    </row>
    <row r="1034" spans="6:19" x14ac:dyDescent="0.35">
      <c r="F1034" s="92"/>
      <c r="H1034" s="92"/>
      <c r="J1034" s="92"/>
      <c r="K1034" s="92"/>
      <c r="M1034" s="92"/>
      <c r="O1034" s="92"/>
      <c r="Q1034" s="95"/>
      <c r="S1034" s="95"/>
    </row>
    <row r="1035" spans="6:19" x14ac:dyDescent="0.35">
      <c r="F1035" s="92"/>
      <c r="H1035" s="92"/>
      <c r="J1035" s="92"/>
      <c r="K1035" s="92"/>
      <c r="M1035" s="92"/>
      <c r="O1035" s="92"/>
      <c r="Q1035" s="95"/>
      <c r="S1035" s="95"/>
    </row>
    <row r="1036" spans="6:19" x14ac:dyDescent="0.35">
      <c r="F1036" s="92"/>
      <c r="H1036" s="92"/>
      <c r="J1036" s="92"/>
      <c r="K1036" s="92"/>
      <c r="M1036" s="92"/>
      <c r="O1036" s="92"/>
      <c r="Q1036" s="95"/>
      <c r="S1036" s="95"/>
    </row>
    <row r="1037" spans="6:19" x14ac:dyDescent="0.35">
      <c r="F1037" s="92"/>
      <c r="H1037" s="92"/>
      <c r="J1037" s="92"/>
      <c r="K1037" s="92"/>
      <c r="M1037" s="92"/>
      <c r="O1037" s="92"/>
      <c r="Q1037" s="95"/>
      <c r="S1037" s="95"/>
    </row>
    <row r="1038" spans="6:19" x14ac:dyDescent="0.35">
      <c r="F1038" s="92"/>
      <c r="H1038" s="92"/>
      <c r="J1038" s="92"/>
      <c r="K1038" s="92"/>
      <c r="M1038" s="92"/>
      <c r="O1038" s="92"/>
      <c r="Q1038" s="95"/>
      <c r="S1038" s="95"/>
    </row>
    <row r="1039" spans="6:19" x14ac:dyDescent="0.35">
      <c r="F1039" s="92"/>
      <c r="H1039" s="92"/>
      <c r="J1039" s="92"/>
      <c r="K1039" s="92"/>
      <c r="M1039" s="92"/>
      <c r="O1039" s="92"/>
      <c r="Q1039" s="95"/>
      <c r="S1039" s="95"/>
    </row>
    <row r="1040" spans="6:19" x14ac:dyDescent="0.35">
      <c r="F1040" s="92"/>
      <c r="H1040" s="92"/>
      <c r="J1040" s="92"/>
      <c r="K1040" s="92"/>
      <c r="M1040" s="92"/>
      <c r="O1040" s="92"/>
      <c r="Q1040" s="95"/>
      <c r="S1040" s="95"/>
    </row>
    <row r="1041" spans="6:19" x14ac:dyDescent="0.35">
      <c r="F1041" s="92"/>
      <c r="H1041" s="92"/>
      <c r="J1041" s="92"/>
      <c r="K1041" s="92"/>
      <c r="M1041" s="92"/>
      <c r="O1041" s="92"/>
      <c r="Q1041" s="95"/>
      <c r="S1041" s="95"/>
    </row>
    <row r="1042" spans="6:19" x14ac:dyDescent="0.35">
      <c r="F1042" s="92"/>
      <c r="H1042" s="92"/>
      <c r="J1042" s="92"/>
      <c r="K1042" s="92"/>
      <c r="M1042" s="92"/>
      <c r="O1042" s="92"/>
      <c r="Q1042" s="95"/>
      <c r="S1042" s="95"/>
    </row>
    <row r="1043" spans="6:19" x14ac:dyDescent="0.35">
      <c r="F1043" s="92"/>
      <c r="H1043" s="92"/>
      <c r="J1043" s="92"/>
      <c r="K1043" s="92"/>
      <c r="M1043" s="92"/>
      <c r="O1043" s="92"/>
      <c r="Q1043" s="95"/>
      <c r="S1043" s="95"/>
    </row>
    <row r="1044" spans="6:19" x14ac:dyDescent="0.35">
      <c r="F1044" s="92"/>
      <c r="H1044" s="92"/>
      <c r="J1044" s="92"/>
      <c r="K1044" s="92"/>
      <c r="M1044" s="92"/>
      <c r="O1044" s="92"/>
      <c r="Q1044" s="95"/>
      <c r="S1044" s="95"/>
    </row>
    <row r="1045" spans="6:19" x14ac:dyDescent="0.35">
      <c r="F1045" s="92"/>
      <c r="H1045" s="92"/>
      <c r="J1045" s="92"/>
      <c r="K1045" s="92"/>
      <c r="M1045" s="92"/>
      <c r="O1045" s="92"/>
      <c r="Q1045" s="95"/>
      <c r="S1045" s="95"/>
    </row>
    <row r="1046" spans="6:19" x14ac:dyDescent="0.35">
      <c r="F1046" s="92"/>
      <c r="H1046" s="92"/>
      <c r="J1046" s="92"/>
      <c r="K1046" s="92"/>
      <c r="M1046" s="92"/>
      <c r="O1046" s="92"/>
      <c r="Q1046" s="95"/>
      <c r="S1046" s="95"/>
    </row>
    <row r="1047" spans="6:19" x14ac:dyDescent="0.35">
      <c r="F1047" s="92"/>
      <c r="H1047" s="92"/>
      <c r="J1047" s="92"/>
      <c r="K1047" s="92"/>
      <c r="M1047" s="92"/>
      <c r="O1047" s="92"/>
      <c r="Q1047" s="95"/>
      <c r="S1047" s="95"/>
    </row>
    <row r="1048" spans="6:19" x14ac:dyDescent="0.35">
      <c r="F1048" s="92"/>
      <c r="H1048" s="92"/>
      <c r="J1048" s="92"/>
      <c r="K1048" s="92"/>
      <c r="M1048" s="92"/>
      <c r="O1048" s="92"/>
      <c r="Q1048" s="95"/>
      <c r="S1048" s="95"/>
    </row>
    <row r="1049" spans="6:19" x14ac:dyDescent="0.35">
      <c r="F1049" s="92"/>
      <c r="H1049" s="92"/>
      <c r="J1049" s="92"/>
      <c r="K1049" s="92"/>
      <c r="M1049" s="92"/>
      <c r="O1049" s="92"/>
      <c r="Q1049" s="95"/>
      <c r="S1049" s="95"/>
    </row>
    <row r="1050" spans="6:19" x14ac:dyDescent="0.35">
      <c r="F1050" s="92"/>
      <c r="H1050" s="92"/>
      <c r="J1050" s="92"/>
      <c r="K1050" s="92"/>
      <c r="M1050" s="92"/>
      <c r="O1050" s="92"/>
      <c r="Q1050" s="95"/>
      <c r="S1050" s="95"/>
    </row>
    <row r="1051" spans="6:19" x14ac:dyDescent="0.35">
      <c r="F1051" s="92"/>
      <c r="H1051" s="92"/>
      <c r="J1051" s="92"/>
      <c r="K1051" s="92"/>
      <c r="M1051" s="92"/>
      <c r="O1051" s="92"/>
      <c r="Q1051" s="95"/>
      <c r="S1051" s="95"/>
    </row>
    <row r="1052" spans="6:19" x14ac:dyDescent="0.35">
      <c r="F1052" s="92"/>
      <c r="H1052" s="92"/>
      <c r="J1052" s="92"/>
      <c r="K1052" s="92"/>
      <c r="M1052" s="92"/>
      <c r="O1052" s="92"/>
      <c r="Q1052" s="95"/>
      <c r="S1052" s="95"/>
    </row>
    <row r="1053" spans="6:19" x14ac:dyDescent="0.35">
      <c r="F1053" s="92"/>
      <c r="H1053" s="92"/>
      <c r="J1053" s="92"/>
      <c r="K1053" s="92"/>
      <c r="M1053" s="92"/>
      <c r="O1053" s="92"/>
      <c r="Q1053" s="95"/>
      <c r="S1053" s="95"/>
    </row>
    <row r="1054" spans="6:19" x14ac:dyDescent="0.35">
      <c r="F1054" s="92"/>
      <c r="H1054" s="92"/>
      <c r="J1054" s="92"/>
      <c r="K1054" s="92"/>
      <c r="M1054" s="92"/>
      <c r="O1054" s="92"/>
      <c r="Q1054" s="95"/>
      <c r="S1054" s="95"/>
    </row>
    <row r="1055" spans="6:19" x14ac:dyDescent="0.35">
      <c r="F1055" s="92"/>
      <c r="H1055" s="92"/>
      <c r="J1055" s="92"/>
      <c r="K1055" s="92"/>
      <c r="M1055" s="92"/>
      <c r="O1055" s="92"/>
      <c r="Q1055" s="95"/>
      <c r="S1055" s="95"/>
    </row>
    <row r="1056" spans="6:19" x14ac:dyDescent="0.35">
      <c r="F1056" s="92"/>
      <c r="H1056" s="92"/>
      <c r="J1056" s="92"/>
      <c r="K1056" s="92"/>
      <c r="M1056" s="92"/>
      <c r="O1056" s="92"/>
      <c r="Q1056" s="95"/>
      <c r="S1056" s="95"/>
    </row>
    <row r="1057" spans="6:19" x14ac:dyDescent="0.35">
      <c r="F1057" s="92"/>
      <c r="H1057" s="92"/>
      <c r="J1057" s="92"/>
      <c r="K1057" s="92"/>
      <c r="M1057" s="92"/>
      <c r="O1057" s="92"/>
      <c r="Q1057" s="95"/>
      <c r="S1057" s="95"/>
    </row>
    <row r="1058" spans="6:19" x14ac:dyDescent="0.35">
      <c r="F1058" s="92"/>
      <c r="H1058" s="92"/>
      <c r="J1058" s="92"/>
      <c r="K1058" s="92"/>
      <c r="M1058" s="92"/>
      <c r="O1058" s="92"/>
      <c r="Q1058" s="95"/>
      <c r="S1058" s="95"/>
    </row>
    <row r="1059" spans="6:19" x14ac:dyDescent="0.35">
      <c r="F1059" s="92"/>
      <c r="H1059" s="92"/>
      <c r="J1059" s="92"/>
      <c r="K1059" s="92"/>
      <c r="M1059" s="92"/>
      <c r="O1059" s="92"/>
      <c r="Q1059" s="95"/>
      <c r="S1059" s="95"/>
    </row>
    <row r="1060" spans="6:19" x14ac:dyDescent="0.35">
      <c r="F1060" s="92"/>
      <c r="H1060" s="92"/>
      <c r="J1060" s="92"/>
      <c r="K1060" s="92"/>
      <c r="M1060" s="92"/>
      <c r="O1060" s="92"/>
      <c r="Q1060" s="95"/>
      <c r="S1060" s="95"/>
    </row>
    <row r="1061" spans="6:19" x14ac:dyDescent="0.35">
      <c r="F1061" s="92"/>
      <c r="H1061" s="92"/>
      <c r="J1061" s="92"/>
      <c r="K1061" s="92"/>
      <c r="M1061" s="92"/>
      <c r="O1061" s="92"/>
      <c r="Q1061" s="95"/>
      <c r="S1061" s="95"/>
    </row>
    <row r="1062" spans="6:19" x14ac:dyDescent="0.35">
      <c r="F1062" s="92"/>
      <c r="H1062" s="92"/>
      <c r="J1062" s="92"/>
      <c r="K1062" s="92"/>
      <c r="M1062" s="92"/>
      <c r="O1062" s="92"/>
      <c r="Q1062" s="95"/>
      <c r="S1062" s="95"/>
    </row>
    <row r="1063" spans="6:19" x14ac:dyDescent="0.35">
      <c r="F1063" s="92"/>
      <c r="H1063" s="92"/>
      <c r="J1063" s="92"/>
      <c r="K1063" s="92"/>
      <c r="M1063" s="92"/>
      <c r="O1063" s="92"/>
      <c r="Q1063" s="95"/>
      <c r="S1063" s="95"/>
    </row>
    <row r="1064" spans="6:19" x14ac:dyDescent="0.35">
      <c r="F1064" s="92"/>
      <c r="H1064" s="92"/>
      <c r="J1064" s="92"/>
      <c r="K1064" s="92"/>
      <c r="M1064" s="92"/>
      <c r="O1064" s="92"/>
      <c r="Q1064" s="95"/>
      <c r="S1064" s="95"/>
    </row>
    <row r="1065" spans="6:19" x14ac:dyDescent="0.35">
      <c r="F1065" s="92"/>
      <c r="H1065" s="92"/>
      <c r="J1065" s="92"/>
      <c r="K1065" s="92"/>
      <c r="M1065" s="92"/>
      <c r="O1065" s="92"/>
      <c r="Q1065" s="95"/>
      <c r="S1065" s="95"/>
    </row>
    <row r="1066" spans="6:19" x14ac:dyDescent="0.35">
      <c r="F1066" s="92"/>
      <c r="H1066" s="92"/>
      <c r="J1066" s="92"/>
      <c r="K1066" s="92"/>
      <c r="M1066" s="92"/>
      <c r="O1066" s="92"/>
      <c r="Q1066" s="95"/>
      <c r="S1066" s="95"/>
    </row>
    <row r="1067" spans="6:19" x14ac:dyDescent="0.35">
      <c r="F1067" s="92"/>
      <c r="H1067" s="92"/>
      <c r="J1067" s="92"/>
      <c r="K1067" s="92"/>
      <c r="M1067" s="92"/>
      <c r="O1067" s="92"/>
      <c r="Q1067" s="95"/>
      <c r="S1067" s="95"/>
    </row>
    <row r="1068" spans="6:19" x14ac:dyDescent="0.35">
      <c r="F1068" s="92"/>
      <c r="H1068" s="92"/>
      <c r="J1068" s="92"/>
      <c r="K1068" s="92"/>
      <c r="M1068" s="92"/>
      <c r="O1068" s="92"/>
      <c r="Q1068" s="95"/>
      <c r="S1068" s="95"/>
    </row>
    <row r="1069" spans="6:19" x14ac:dyDescent="0.35">
      <c r="F1069" s="92"/>
      <c r="H1069" s="92"/>
      <c r="J1069" s="92"/>
      <c r="K1069" s="92"/>
      <c r="M1069" s="92"/>
      <c r="O1069" s="92"/>
      <c r="Q1069" s="95"/>
      <c r="S1069" s="95"/>
    </row>
    <row r="1070" spans="6:19" x14ac:dyDescent="0.35">
      <c r="F1070" s="92"/>
      <c r="H1070" s="92"/>
      <c r="J1070" s="92"/>
      <c r="K1070" s="92"/>
      <c r="M1070" s="92"/>
      <c r="O1070" s="92"/>
      <c r="Q1070" s="95"/>
      <c r="S1070" s="95"/>
    </row>
    <row r="1071" spans="6:19" x14ac:dyDescent="0.35">
      <c r="F1071" s="92"/>
      <c r="H1071" s="92"/>
      <c r="J1071" s="92"/>
      <c r="K1071" s="92"/>
      <c r="M1071" s="92"/>
      <c r="O1071" s="92"/>
      <c r="Q1071" s="95"/>
      <c r="S1071" s="95"/>
    </row>
    <row r="1072" spans="6:19" x14ac:dyDescent="0.35">
      <c r="F1072" s="92"/>
      <c r="H1072" s="92"/>
      <c r="J1072" s="92"/>
      <c r="K1072" s="92"/>
      <c r="M1072" s="92"/>
      <c r="O1072" s="92"/>
      <c r="Q1072" s="95"/>
      <c r="S1072" s="95"/>
    </row>
    <row r="1073" spans="6:19" x14ac:dyDescent="0.35">
      <c r="F1073" s="92"/>
      <c r="H1073" s="92"/>
      <c r="J1073" s="92"/>
      <c r="K1073" s="92"/>
      <c r="M1073" s="92"/>
      <c r="O1073" s="92"/>
      <c r="Q1073" s="95"/>
      <c r="S1073" s="95"/>
    </row>
    <row r="1074" spans="6:19" x14ac:dyDescent="0.35">
      <c r="F1074" s="92"/>
      <c r="H1074" s="92"/>
      <c r="J1074" s="92"/>
      <c r="K1074" s="92"/>
      <c r="M1074" s="92"/>
      <c r="O1074" s="92"/>
      <c r="Q1074" s="95"/>
      <c r="S1074" s="95"/>
    </row>
    <row r="1075" spans="6:19" x14ac:dyDescent="0.35">
      <c r="F1075" s="92"/>
      <c r="H1075" s="92"/>
      <c r="J1075" s="92"/>
      <c r="K1075" s="92"/>
      <c r="M1075" s="92"/>
      <c r="O1075" s="92"/>
      <c r="Q1075" s="95"/>
      <c r="S1075" s="95"/>
    </row>
    <row r="1076" spans="6:19" x14ac:dyDescent="0.35">
      <c r="F1076" s="92"/>
      <c r="H1076" s="92"/>
      <c r="J1076" s="92"/>
      <c r="K1076" s="92"/>
      <c r="M1076" s="92"/>
      <c r="O1076" s="92"/>
      <c r="Q1076" s="95"/>
      <c r="S1076" s="95"/>
    </row>
    <row r="1077" spans="6:19" x14ac:dyDescent="0.35">
      <c r="F1077" s="92"/>
      <c r="H1077" s="92"/>
      <c r="J1077" s="92"/>
      <c r="K1077" s="92"/>
      <c r="M1077" s="92"/>
      <c r="O1077" s="92"/>
      <c r="Q1077" s="95"/>
      <c r="S1077" s="95"/>
    </row>
    <row r="1078" spans="6:19" x14ac:dyDescent="0.35">
      <c r="F1078" s="92"/>
      <c r="H1078" s="92"/>
      <c r="J1078" s="92"/>
      <c r="K1078" s="92"/>
      <c r="M1078" s="92"/>
      <c r="O1078" s="92"/>
      <c r="Q1078" s="95"/>
      <c r="S1078" s="95"/>
    </row>
    <row r="1079" spans="6:19" x14ac:dyDescent="0.35">
      <c r="F1079" s="92"/>
      <c r="H1079" s="92"/>
      <c r="J1079" s="92"/>
      <c r="K1079" s="92"/>
      <c r="M1079" s="92"/>
      <c r="O1079" s="92"/>
      <c r="Q1079" s="95"/>
      <c r="S1079" s="95"/>
    </row>
    <row r="1080" spans="6:19" x14ac:dyDescent="0.35">
      <c r="F1080" s="92"/>
      <c r="H1080" s="92"/>
      <c r="J1080" s="92"/>
      <c r="K1080" s="92"/>
      <c r="M1080" s="92"/>
      <c r="O1080" s="92"/>
      <c r="Q1080" s="95"/>
      <c r="S1080" s="95"/>
    </row>
    <row r="1081" spans="6:19" x14ac:dyDescent="0.35">
      <c r="F1081" s="92"/>
      <c r="H1081" s="92"/>
      <c r="J1081" s="92"/>
      <c r="K1081" s="92"/>
      <c r="M1081" s="92"/>
      <c r="O1081" s="92"/>
      <c r="Q1081" s="95"/>
      <c r="S1081" s="95"/>
    </row>
    <row r="1082" spans="6:19" x14ac:dyDescent="0.35">
      <c r="F1082" s="92"/>
      <c r="H1082" s="92"/>
      <c r="J1082" s="92"/>
      <c r="K1082" s="92"/>
      <c r="M1082" s="92"/>
      <c r="O1082" s="92"/>
      <c r="Q1082" s="95"/>
      <c r="S1082" s="95"/>
    </row>
    <row r="1083" spans="6:19" x14ac:dyDescent="0.35">
      <c r="F1083" s="92"/>
      <c r="H1083" s="92"/>
      <c r="J1083" s="92"/>
      <c r="K1083" s="92"/>
      <c r="M1083" s="92"/>
      <c r="O1083" s="92"/>
      <c r="Q1083" s="95"/>
      <c r="S1083" s="95"/>
    </row>
    <row r="1084" spans="6:19" x14ac:dyDescent="0.35">
      <c r="F1084" s="92"/>
      <c r="H1084" s="92"/>
      <c r="J1084" s="92"/>
      <c r="K1084" s="92"/>
      <c r="M1084" s="92"/>
      <c r="O1084" s="92"/>
      <c r="Q1084" s="95"/>
      <c r="S1084" s="95"/>
    </row>
    <row r="1085" spans="6:19" x14ac:dyDescent="0.35">
      <c r="F1085" s="92"/>
      <c r="H1085" s="92"/>
      <c r="J1085" s="92"/>
      <c r="K1085" s="92"/>
      <c r="M1085" s="92"/>
      <c r="O1085" s="92"/>
      <c r="Q1085" s="95"/>
      <c r="S1085" s="95"/>
    </row>
    <row r="1086" spans="6:19" x14ac:dyDescent="0.35">
      <c r="F1086" s="92"/>
      <c r="H1086" s="92"/>
      <c r="J1086" s="92"/>
      <c r="K1086" s="92"/>
      <c r="M1086" s="92"/>
      <c r="O1086" s="92"/>
      <c r="Q1086" s="95"/>
      <c r="S1086" s="95"/>
    </row>
    <row r="1087" spans="6:19" x14ac:dyDescent="0.35">
      <c r="F1087" s="92"/>
      <c r="H1087" s="92"/>
      <c r="J1087" s="92"/>
      <c r="K1087" s="92"/>
      <c r="M1087" s="92"/>
      <c r="O1087" s="92"/>
      <c r="Q1087" s="95"/>
      <c r="S1087" s="95"/>
    </row>
    <row r="1088" spans="6:19" x14ac:dyDescent="0.35">
      <c r="F1088" s="92"/>
      <c r="H1088" s="92"/>
      <c r="J1088" s="92"/>
      <c r="K1088" s="92"/>
      <c r="M1088" s="92"/>
      <c r="O1088" s="92"/>
      <c r="Q1088" s="95"/>
      <c r="S1088" s="95"/>
    </row>
    <row r="1089" spans="1:20" x14ac:dyDescent="0.35">
      <c r="F1089" s="92"/>
      <c r="H1089" s="92"/>
      <c r="J1089" s="92"/>
      <c r="K1089" s="92"/>
      <c r="M1089" s="92"/>
      <c r="O1089" s="92"/>
      <c r="Q1089" s="95"/>
      <c r="S1089" s="95"/>
    </row>
    <row r="1090" spans="1:20" x14ac:dyDescent="0.35">
      <c r="F1090" s="92"/>
      <c r="H1090" s="92"/>
      <c r="J1090" s="92"/>
      <c r="K1090" s="92"/>
      <c r="M1090" s="92"/>
      <c r="O1090" s="92"/>
      <c r="Q1090" s="95"/>
      <c r="S1090" s="95"/>
    </row>
    <row r="1091" spans="1:20" x14ac:dyDescent="0.35">
      <c r="F1091" s="92"/>
      <c r="H1091" s="92"/>
      <c r="J1091" s="92"/>
      <c r="K1091" s="92"/>
      <c r="M1091" s="92"/>
      <c r="O1091" s="92"/>
      <c r="Q1091" s="95"/>
      <c r="S1091" s="95"/>
    </row>
    <row r="1092" spans="1:20" x14ac:dyDescent="0.35">
      <c r="F1092" s="92"/>
      <c r="H1092" s="92"/>
      <c r="J1092" s="92"/>
      <c r="K1092" s="92"/>
      <c r="M1092" s="92"/>
      <c r="O1092" s="92"/>
      <c r="Q1092" s="95"/>
      <c r="S1092" s="95"/>
    </row>
    <row r="1093" spans="1:20" x14ac:dyDescent="0.35">
      <c r="F1093" s="92"/>
      <c r="H1093" s="92"/>
      <c r="J1093" s="92"/>
      <c r="K1093" s="92"/>
      <c r="M1093" s="92"/>
      <c r="O1093" s="92"/>
      <c r="Q1093" s="95"/>
      <c r="S1093" s="95"/>
    </row>
    <row r="1094" spans="1:20" x14ac:dyDescent="0.35">
      <c r="F1094" s="92"/>
      <c r="H1094" s="92"/>
      <c r="J1094" s="92"/>
      <c r="K1094" s="92"/>
      <c r="M1094" s="92"/>
      <c r="O1094" s="92"/>
      <c r="Q1094" s="95"/>
      <c r="S1094" s="95"/>
    </row>
    <row r="1095" spans="1:20" x14ac:dyDescent="0.35">
      <c r="F1095" s="92"/>
      <c r="H1095" s="92"/>
      <c r="J1095" s="92"/>
      <c r="K1095" s="92"/>
      <c r="M1095" s="92"/>
      <c r="O1095" s="92"/>
      <c r="Q1095" s="95"/>
      <c r="S1095" s="95"/>
    </row>
    <row r="1096" spans="1:20" x14ac:dyDescent="0.35">
      <c r="F1096" s="92"/>
      <c r="H1096" s="92"/>
      <c r="J1096" s="92"/>
      <c r="K1096" s="92"/>
      <c r="M1096" s="92"/>
      <c r="O1096" s="92"/>
      <c r="Q1096" s="95"/>
      <c r="S1096" s="95"/>
    </row>
    <row r="1097" spans="1:20" x14ac:dyDescent="0.35">
      <c r="F1097" s="92"/>
      <c r="H1097" s="92"/>
      <c r="J1097" s="92"/>
      <c r="K1097" s="92"/>
      <c r="M1097" s="92"/>
      <c r="O1097" s="92"/>
      <c r="Q1097" s="95"/>
      <c r="S1097" s="95"/>
    </row>
    <row r="1098" spans="1:20" x14ac:dyDescent="0.35">
      <c r="F1098" s="92"/>
      <c r="H1098" s="92"/>
      <c r="J1098" s="92"/>
      <c r="K1098" s="92"/>
      <c r="M1098" s="92"/>
      <c r="O1098" s="92"/>
      <c r="Q1098" s="95"/>
      <c r="S1098" s="95"/>
    </row>
    <row r="1099" spans="1:20" x14ac:dyDescent="0.35">
      <c r="F1099" s="92"/>
      <c r="H1099" s="92"/>
      <c r="J1099" s="92"/>
      <c r="K1099" s="92"/>
      <c r="M1099" s="92"/>
      <c r="O1099" s="92"/>
      <c r="Q1099" s="95"/>
      <c r="S1099" s="95"/>
    </row>
    <row r="1100" spans="1:20" x14ac:dyDescent="0.35">
      <c r="F1100" s="92"/>
      <c r="H1100" s="92"/>
      <c r="J1100" s="92"/>
      <c r="K1100" s="92"/>
      <c r="M1100" s="92"/>
      <c r="O1100" s="92"/>
      <c r="Q1100" s="95"/>
      <c r="S1100" s="95"/>
    </row>
    <row r="1101" spans="1:20" x14ac:dyDescent="0.35">
      <c r="A1101" s="106"/>
      <c r="B1101" s="106"/>
      <c r="C1101" s="106"/>
      <c r="D1101" s="106"/>
      <c r="E1101" s="106"/>
      <c r="F1101" s="107"/>
      <c r="G1101" s="106"/>
      <c r="H1101" s="107"/>
      <c r="I1101" s="106"/>
      <c r="J1101" s="107"/>
      <c r="K1101" s="107"/>
      <c r="L1101" s="106"/>
      <c r="M1101" s="107"/>
      <c r="N1101" s="106"/>
      <c r="O1101" s="107"/>
      <c r="P1101" s="106"/>
      <c r="Q1101" s="129"/>
      <c r="R1101" s="106"/>
      <c r="S1101" s="129"/>
      <c r="T1101" s="106"/>
    </row>
    <row r="1102" spans="1:20" x14ac:dyDescent="0.35">
      <c r="A1102" s="106"/>
      <c r="B1102" s="106"/>
      <c r="C1102" s="106"/>
      <c r="D1102" s="106"/>
      <c r="E1102" s="106"/>
      <c r="F1102" s="107"/>
      <c r="G1102" s="106"/>
      <c r="H1102" s="107"/>
      <c r="I1102" s="106"/>
      <c r="J1102" s="107"/>
      <c r="K1102" s="107"/>
      <c r="L1102" s="106"/>
      <c r="M1102" s="107"/>
      <c r="N1102" s="106"/>
      <c r="O1102" s="107"/>
      <c r="P1102" s="106"/>
      <c r="Q1102" s="129"/>
      <c r="R1102" s="106"/>
      <c r="S1102" s="129"/>
      <c r="T1102" s="106"/>
    </row>
    <row r="1103" spans="1:20" x14ac:dyDescent="0.35">
      <c r="A1103" s="106"/>
      <c r="B1103" s="106"/>
      <c r="C1103" s="106"/>
      <c r="D1103" s="106"/>
      <c r="E1103" s="106"/>
      <c r="F1103" s="107"/>
      <c r="G1103" s="106"/>
      <c r="H1103" s="107"/>
      <c r="I1103" s="106"/>
      <c r="J1103" s="107"/>
      <c r="K1103" s="107"/>
      <c r="L1103" s="106"/>
      <c r="M1103" s="107"/>
      <c r="N1103" s="106"/>
      <c r="O1103" s="107"/>
      <c r="P1103" s="106"/>
      <c r="Q1103" s="129"/>
      <c r="R1103" s="106"/>
      <c r="S1103" s="129"/>
      <c r="T1103" s="106"/>
    </row>
    <row r="1104" spans="1:20" x14ac:dyDescent="0.35">
      <c r="A1104" s="106"/>
      <c r="B1104" s="106"/>
      <c r="C1104" s="106"/>
      <c r="D1104" s="106"/>
      <c r="E1104" s="106"/>
      <c r="F1104" s="107"/>
      <c r="G1104" s="106"/>
      <c r="H1104" s="107"/>
      <c r="I1104" s="106"/>
      <c r="J1104" s="107"/>
      <c r="K1104" s="107"/>
      <c r="L1104" s="106"/>
      <c r="M1104" s="107"/>
      <c r="N1104" s="106"/>
      <c r="O1104" s="107"/>
      <c r="P1104" s="106"/>
      <c r="Q1104" s="129"/>
      <c r="R1104" s="106"/>
      <c r="S1104" s="129"/>
      <c r="T1104" s="106"/>
    </row>
    <row r="1105" spans="1:20" x14ac:dyDescent="0.35">
      <c r="A1105" s="106"/>
      <c r="B1105" s="106"/>
      <c r="C1105" s="106"/>
      <c r="D1105" s="106"/>
      <c r="E1105" s="106"/>
      <c r="F1105" s="107"/>
      <c r="G1105" s="106"/>
      <c r="H1105" s="107"/>
      <c r="I1105" s="106"/>
      <c r="J1105" s="107"/>
      <c r="K1105" s="107"/>
      <c r="L1105" s="106"/>
      <c r="M1105" s="107"/>
      <c r="N1105" s="106"/>
      <c r="O1105" s="107"/>
      <c r="P1105" s="106"/>
      <c r="Q1105" s="129"/>
      <c r="R1105" s="106"/>
      <c r="S1105" s="129"/>
      <c r="T1105" s="106"/>
    </row>
    <row r="1106" spans="1:20" x14ac:dyDescent="0.35">
      <c r="A1106" s="106"/>
      <c r="B1106" s="106"/>
      <c r="C1106" s="106"/>
      <c r="D1106" s="106"/>
      <c r="E1106" s="106"/>
      <c r="F1106" s="107"/>
      <c r="G1106" s="106"/>
      <c r="H1106" s="107"/>
      <c r="I1106" s="106"/>
      <c r="J1106" s="107"/>
      <c r="K1106" s="107"/>
      <c r="L1106" s="106"/>
      <c r="M1106" s="107"/>
      <c r="N1106" s="106"/>
      <c r="O1106" s="107"/>
      <c r="P1106" s="106"/>
      <c r="Q1106" s="129"/>
      <c r="R1106" s="106"/>
      <c r="S1106" s="129"/>
      <c r="T1106" s="106"/>
    </row>
    <row r="1107" spans="1:20" x14ac:dyDescent="0.35">
      <c r="A1107" s="106"/>
      <c r="B1107" s="106"/>
      <c r="C1107" s="106"/>
      <c r="D1107" s="106"/>
      <c r="E1107" s="106"/>
      <c r="F1107" s="107"/>
      <c r="G1107" s="106"/>
      <c r="H1107" s="107"/>
      <c r="I1107" s="106"/>
      <c r="J1107" s="107"/>
      <c r="K1107" s="107"/>
      <c r="L1107" s="106"/>
      <c r="M1107" s="107"/>
      <c r="N1107" s="106"/>
      <c r="O1107" s="107"/>
      <c r="P1107" s="106"/>
      <c r="Q1107" s="129"/>
      <c r="R1107" s="106"/>
      <c r="S1107" s="129"/>
      <c r="T1107" s="106"/>
    </row>
    <row r="1108" spans="1:20" x14ac:dyDescent="0.35">
      <c r="A1108" s="106"/>
      <c r="B1108" s="106"/>
      <c r="C1108" s="106"/>
      <c r="D1108" s="106"/>
      <c r="E1108" s="106"/>
      <c r="F1108" s="107"/>
      <c r="G1108" s="106"/>
      <c r="H1108" s="107"/>
      <c r="I1108" s="106"/>
      <c r="J1108" s="107"/>
      <c r="K1108" s="107"/>
      <c r="L1108" s="106"/>
      <c r="M1108" s="107"/>
      <c r="N1108" s="106"/>
      <c r="O1108" s="107"/>
      <c r="P1108" s="106"/>
      <c r="Q1108" s="129"/>
      <c r="R1108" s="106"/>
      <c r="S1108" s="129"/>
      <c r="T1108" s="106"/>
    </row>
    <row r="1109" spans="1:20" x14ac:dyDescent="0.35">
      <c r="A1109" s="106"/>
      <c r="B1109" s="106"/>
      <c r="C1109" s="106"/>
      <c r="D1109" s="106"/>
      <c r="E1109" s="106"/>
      <c r="F1109" s="107"/>
      <c r="G1109" s="106"/>
      <c r="H1109" s="107"/>
      <c r="I1109" s="106"/>
      <c r="J1109" s="107"/>
      <c r="K1109" s="107"/>
      <c r="L1109" s="106"/>
      <c r="M1109" s="107"/>
      <c r="N1109" s="106"/>
      <c r="O1109" s="107"/>
      <c r="P1109" s="106"/>
      <c r="Q1109" s="129"/>
      <c r="R1109" s="106"/>
      <c r="S1109" s="129"/>
      <c r="T1109" s="106"/>
    </row>
    <row r="1110" spans="1:20" x14ac:dyDescent="0.35">
      <c r="A1110" s="106"/>
      <c r="B1110" s="106"/>
      <c r="C1110" s="106"/>
      <c r="D1110" s="106"/>
      <c r="E1110" s="106"/>
      <c r="F1110" s="107"/>
      <c r="G1110" s="106"/>
      <c r="H1110" s="107"/>
      <c r="I1110" s="106"/>
      <c r="J1110" s="107"/>
      <c r="K1110" s="107"/>
      <c r="L1110" s="106"/>
      <c r="M1110" s="107"/>
      <c r="N1110" s="106"/>
      <c r="O1110" s="107"/>
      <c r="P1110" s="106"/>
      <c r="Q1110" s="129"/>
      <c r="R1110" s="106"/>
      <c r="S1110" s="129"/>
      <c r="T1110" s="106"/>
    </row>
    <row r="1111" spans="1:20" x14ac:dyDescent="0.35">
      <c r="A1111" s="106"/>
      <c r="B1111" s="106"/>
      <c r="C1111" s="106"/>
      <c r="D1111" s="106"/>
      <c r="E1111" s="106"/>
      <c r="F1111" s="107"/>
      <c r="G1111" s="106"/>
      <c r="H1111" s="107"/>
      <c r="I1111" s="106"/>
      <c r="J1111" s="107"/>
      <c r="K1111" s="107"/>
      <c r="L1111" s="106"/>
      <c r="M1111" s="107"/>
      <c r="N1111" s="106"/>
      <c r="O1111" s="107"/>
      <c r="P1111" s="106"/>
      <c r="Q1111" s="129"/>
      <c r="R1111" s="106"/>
      <c r="S1111" s="129"/>
      <c r="T1111" s="106"/>
    </row>
    <row r="1112" spans="1:20" x14ac:dyDescent="0.35">
      <c r="A1112" s="106"/>
      <c r="B1112" s="106"/>
      <c r="C1112" s="106"/>
      <c r="D1112" s="106"/>
      <c r="E1112" s="106"/>
      <c r="F1112" s="107"/>
      <c r="G1112" s="106"/>
      <c r="H1112" s="107"/>
      <c r="I1112" s="106"/>
      <c r="J1112" s="107"/>
      <c r="K1112" s="107"/>
      <c r="L1112" s="106"/>
      <c r="M1112" s="107"/>
      <c r="N1112" s="106"/>
      <c r="O1112" s="107"/>
      <c r="P1112" s="106"/>
      <c r="Q1112" s="129"/>
      <c r="R1112" s="106"/>
      <c r="S1112" s="129"/>
      <c r="T1112" s="106"/>
    </row>
    <row r="1113" spans="1:20" x14ac:dyDescent="0.35">
      <c r="A1113" s="106"/>
      <c r="B1113" s="106"/>
      <c r="C1113" s="106"/>
      <c r="D1113" s="106"/>
      <c r="E1113" s="106"/>
      <c r="F1113" s="107"/>
      <c r="G1113" s="106"/>
      <c r="H1113" s="107"/>
      <c r="I1113" s="106"/>
      <c r="J1113" s="107"/>
      <c r="K1113" s="107"/>
      <c r="L1113" s="106"/>
      <c r="M1113" s="107"/>
      <c r="N1113" s="106"/>
      <c r="O1113" s="107"/>
      <c r="P1113" s="106"/>
      <c r="Q1113" s="129"/>
      <c r="R1113" s="106"/>
      <c r="S1113" s="129"/>
      <c r="T1113" s="106"/>
    </row>
    <row r="1114" spans="1:20" x14ac:dyDescent="0.35">
      <c r="A1114" s="106"/>
      <c r="B1114" s="106"/>
      <c r="C1114" s="106"/>
      <c r="D1114" s="106"/>
      <c r="E1114" s="106"/>
      <c r="F1114" s="107"/>
      <c r="G1114" s="106"/>
      <c r="H1114" s="107"/>
      <c r="I1114" s="106"/>
      <c r="J1114" s="107"/>
      <c r="K1114" s="107"/>
      <c r="L1114" s="106"/>
      <c r="M1114" s="107"/>
      <c r="N1114" s="106"/>
      <c r="O1114" s="107"/>
      <c r="P1114" s="106"/>
      <c r="Q1114" s="129"/>
      <c r="R1114" s="106"/>
      <c r="S1114" s="129"/>
      <c r="T1114" s="106"/>
    </row>
    <row r="1115" spans="1:20" x14ac:dyDescent="0.35">
      <c r="A1115" s="106"/>
      <c r="B1115" s="106"/>
      <c r="C1115" s="106"/>
      <c r="D1115" s="106"/>
      <c r="E1115" s="106"/>
      <c r="F1115" s="107"/>
      <c r="G1115" s="106"/>
      <c r="H1115" s="107"/>
      <c r="I1115" s="106"/>
      <c r="J1115" s="107"/>
      <c r="K1115" s="107"/>
      <c r="L1115" s="106"/>
      <c r="M1115" s="107"/>
      <c r="N1115" s="106"/>
      <c r="O1115" s="107"/>
      <c r="P1115" s="106"/>
      <c r="Q1115" s="129"/>
      <c r="R1115" s="106"/>
      <c r="S1115" s="129"/>
      <c r="T1115" s="106"/>
    </row>
    <row r="1116" spans="1:20" x14ac:dyDescent="0.35">
      <c r="A1116" s="106"/>
      <c r="B1116" s="106"/>
      <c r="C1116" s="106"/>
      <c r="D1116" s="106"/>
      <c r="E1116" s="106"/>
      <c r="F1116" s="107"/>
      <c r="G1116" s="106"/>
      <c r="H1116" s="107"/>
      <c r="I1116" s="106"/>
      <c r="J1116" s="107"/>
      <c r="K1116" s="107"/>
      <c r="L1116" s="106"/>
      <c r="M1116" s="107"/>
      <c r="N1116" s="106"/>
      <c r="O1116" s="107"/>
      <c r="P1116" s="106"/>
      <c r="Q1116" s="129"/>
      <c r="R1116" s="106"/>
      <c r="S1116" s="129"/>
      <c r="T1116" s="106"/>
    </row>
    <row r="1117" spans="1:20" x14ac:dyDescent="0.35">
      <c r="A1117" s="106"/>
      <c r="B1117" s="106"/>
      <c r="C1117" s="106"/>
      <c r="D1117" s="106"/>
      <c r="E1117" s="106"/>
      <c r="F1117" s="107"/>
      <c r="G1117" s="106"/>
      <c r="H1117" s="107"/>
      <c r="I1117" s="106"/>
      <c r="J1117" s="107"/>
      <c r="K1117" s="107"/>
      <c r="L1117" s="106"/>
      <c r="M1117" s="107"/>
      <c r="N1117" s="106"/>
      <c r="O1117" s="107"/>
      <c r="P1117" s="106"/>
      <c r="Q1117" s="129"/>
      <c r="R1117" s="106"/>
      <c r="S1117" s="129"/>
      <c r="T1117" s="106"/>
    </row>
    <row r="1118" spans="1:20" x14ac:dyDescent="0.35">
      <c r="A1118" s="106"/>
      <c r="B1118" s="106"/>
      <c r="C1118" s="106"/>
      <c r="D1118" s="106"/>
      <c r="E1118" s="106"/>
      <c r="F1118" s="107"/>
      <c r="G1118" s="106"/>
      <c r="H1118" s="107"/>
      <c r="I1118" s="106"/>
      <c r="J1118" s="107"/>
      <c r="K1118" s="107"/>
      <c r="L1118" s="106"/>
      <c r="M1118" s="107"/>
      <c r="N1118" s="106"/>
      <c r="O1118" s="107"/>
      <c r="P1118" s="106"/>
      <c r="Q1118" s="129"/>
      <c r="R1118" s="106"/>
      <c r="S1118" s="129"/>
      <c r="T1118" s="106"/>
    </row>
    <row r="1119" spans="1:20" x14ac:dyDescent="0.35">
      <c r="A1119" s="106"/>
      <c r="B1119" s="106"/>
      <c r="C1119" s="106"/>
      <c r="D1119" s="106"/>
      <c r="E1119" s="106"/>
      <c r="F1119" s="107"/>
      <c r="G1119" s="106"/>
      <c r="H1119" s="107"/>
      <c r="I1119" s="106"/>
      <c r="J1119" s="107"/>
      <c r="K1119" s="107"/>
      <c r="L1119" s="106"/>
      <c r="M1119" s="107"/>
      <c r="N1119" s="106"/>
      <c r="O1119" s="107"/>
      <c r="P1119" s="106"/>
      <c r="Q1119" s="129"/>
      <c r="R1119" s="106"/>
      <c r="S1119" s="129"/>
      <c r="T1119" s="106"/>
    </row>
    <row r="1120" spans="1:20" x14ac:dyDescent="0.35">
      <c r="A1120" s="106"/>
      <c r="B1120" s="106"/>
      <c r="C1120" s="106"/>
      <c r="D1120" s="106"/>
      <c r="E1120" s="106"/>
      <c r="F1120" s="107"/>
      <c r="G1120" s="106"/>
      <c r="H1120" s="107"/>
      <c r="I1120" s="106"/>
      <c r="J1120" s="107"/>
      <c r="K1120" s="107"/>
      <c r="L1120" s="106"/>
      <c r="M1120" s="107"/>
      <c r="N1120" s="106"/>
      <c r="O1120" s="107"/>
      <c r="P1120" s="106"/>
      <c r="Q1120" s="129"/>
      <c r="R1120" s="106"/>
      <c r="S1120" s="129"/>
      <c r="T1120" s="106"/>
    </row>
    <row r="1121" spans="1:20" x14ac:dyDescent="0.35">
      <c r="A1121" s="106"/>
      <c r="B1121" s="106"/>
      <c r="C1121" s="106"/>
      <c r="D1121" s="106"/>
      <c r="E1121" s="106"/>
      <c r="F1121" s="107"/>
      <c r="G1121" s="106"/>
      <c r="H1121" s="107"/>
      <c r="I1121" s="106"/>
      <c r="J1121" s="107"/>
      <c r="K1121" s="107"/>
      <c r="L1121" s="106"/>
      <c r="M1121" s="107"/>
      <c r="N1121" s="106"/>
      <c r="O1121" s="107"/>
      <c r="P1121" s="106"/>
      <c r="Q1121" s="129"/>
      <c r="R1121" s="106"/>
      <c r="S1121" s="129"/>
      <c r="T1121" s="106"/>
    </row>
    <row r="1122" spans="1:20" x14ac:dyDescent="0.35">
      <c r="A1122" s="106"/>
      <c r="B1122" s="106"/>
      <c r="C1122" s="106"/>
      <c r="D1122" s="106"/>
      <c r="E1122" s="106"/>
      <c r="F1122" s="107"/>
      <c r="G1122" s="106"/>
      <c r="H1122" s="107"/>
      <c r="I1122" s="106"/>
      <c r="J1122" s="107"/>
      <c r="K1122" s="107"/>
      <c r="L1122" s="106"/>
      <c r="M1122" s="107"/>
      <c r="N1122" s="106"/>
      <c r="O1122" s="107"/>
      <c r="P1122" s="106"/>
      <c r="Q1122" s="129"/>
      <c r="R1122" s="106"/>
      <c r="S1122" s="129"/>
      <c r="T1122" s="106"/>
    </row>
    <row r="1123" spans="1:20" x14ac:dyDescent="0.35">
      <c r="A1123" s="106"/>
      <c r="B1123" s="106"/>
      <c r="C1123" s="106"/>
      <c r="D1123" s="106"/>
      <c r="E1123" s="106"/>
      <c r="F1123" s="107"/>
      <c r="G1123" s="106"/>
      <c r="H1123" s="107"/>
      <c r="I1123" s="106"/>
      <c r="J1123" s="107"/>
      <c r="K1123" s="107"/>
      <c r="L1123" s="106"/>
      <c r="M1123" s="107"/>
      <c r="N1123" s="106"/>
      <c r="O1123" s="107"/>
      <c r="P1123" s="106"/>
      <c r="Q1123" s="129"/>
      <c r="R1123" s="106"/>
      <c r="S1123" s="129"/>
      <c r="T1123" s="106"/>
    </row>
    <row r="1124" spans="1:20" x14ac:dyDescent="0.35">
      <c r="A1124" s="106"/>
      <c r="B1124" s="106"/>
      <c r="C1124" s="106"/>
      <c r="D1124" s="106"/>
      <c r="E1124" s="106"/>
      <c r="F1124" s="107"/>
      <c r="G1124" s="106"/>
      <c r="H1124" s="107"/>
      <c r="I1124" s="106"/>
      <c r="J1124" s="107"/>
      <c r="K1124" s="107"/>
      <c r="L1124" s="106"/>
      <c r="M1124" s="107"/>
      <c r="N1124" s="106"/>
      <c r="O1124" s="107"/>
      <c r="P1124" s="106"/>
      <c r="Q1124" s="129"/>
      <c r="R1124" s="106"/>
      <c r="S1124" s="129"/>
      <c r="T1124" s="106"/>
    </row>
    <row r="1125" spans="1:20" x14ac:dyDescent="0.35">
      <c r="A1125" s="106"/>
      <c r="B1125" s="106"/>
      <c r="C1125" s="106"/>
      <c r="D1125" s="106"/>
      <c r="E1125" s="106"/>
      <c r="F1125" s="107"/>
      <c r="G1125" s="106"/>
      <c r="H1125" s="107"/>
      <c r="I1125" s="106"/>
      <c r="J1125" s="107"/>
      <c r="K1125" s="107"/>
      <c r="L1125" s="106"/>
      <c r="M1125" s="107"/>
      <c r="N1125" s="106"/>
      <c r="O1125" s="107"/>
      <c r="P1125" s="106"/>
      <c r="Q1125" s="129"/>
      <c r="R1125" s="106"/>
      <c r="S1125" s="129"/>
      <c r="T1125" s="106"/>
    </row>
    <row r="1126" spans="1:20" x14ac:dyDescent="0.35">
      <c r="A1126" s="106"/>
      <c r="B1126" s="106"/>
      <c r="C1126" s="106"/>
      <c r="D1126" s="106"/>
      <c r="E1126" s="106"/>
      <c r="F1126" s="107"/>
      <c r="G1126" s="106"/>
      <c r="H1126" s="107"/>
      <c r="I1126" s="106"/>
      <c r="J1126" s="107"/>
      <c r="K1126" s="107"/>
      <c r="L1126" s="106"/>
      <c r="M1126" s="107"/>
      <c r="N1126" s="106"/>
      <c r="O1126" s="107"/>
      <c r="P1126" s="106"/>
      <c r="Q1126" s="129"/>
      <c r="R1126" s="106"/>
      <c r="S1126" s="129"/>
      <c r="T1126" s="106"/>
    </row>
    <row r="1127" spans="1:20" x14ac:dyDescent="0.35">
      <c r="A1127" s="106"/>
      <c r="B1127" s="106"/>
      <c r="C1127" s="106"/>
      <c r="D1127" s="106"/>
      <c r="E1127" s="106"/>
      <c r="F1127" s="107"/>
      <c r="G1127" s="106"/>
      <c r="H1127" s="107"/>
      <c r="I1127" s="106"/>
      <c r="J1127" s="107"/>
      <c r="K1127" s="107"/>
      <c r="L1127" s="106"/>
      <c r="M1127" s="107"/>
      <c r="N1127" s="106"/>
      <c r="O1127" s="107"/>
      <c r="P1127" s="106"/>
      <c r="Q1127" s="129"/>
      <c r="R1127" s="106"/>
      <c r="S1127" s="129"/>
      <c r="T1127" s="106"/>
    </row>
    <row r="1128" spans="1:20" x14ac:dyDescent="0.35">
      <c r="A1128" s="106"/>
      <c r="B1128" s="106"/>
      <c r="C1128" s="106"/>
      <c r="D1128" s="106"/>
      <c r="E1128" s="106"/>
      <c r="F1128" s="107"/>
      <c r="G1128" s="106"/>
      <c r="H1128" s="107"/>
      <c r="I1128" s="106"/>
      <c r="J1128" s="107"/>
      <c r="K1128" s="107"/>
      <c r="L1128" s="106"/>
      <c r="M1128" s="107"/>
      <c r="N1128" s="106"/>
      <c r="O1128" s="107"/>
      <c r="P1128" s="106"/>
      <c r="Q1128" s="129"/>
      <c r="R1128" s="106"/>
      <c r="S1128" s="129"/>
      <c r="T1128" s="106"/>
    </row>
    <row r="1129" spans="1:20" x14ac:dyDescent="0.35">
      <c r="A1129" s="106"/>
      <c r="B1129" s="106"/>
      <c r="C1129" s="106"/>
      <c r="D1129" s="106"/>
      <c r="E1129" s="106"/>
      <c r="F1129" s="107"/>
      <c r="G1129" s="106"/>
      <c r="H1129" s="107"/>
      <c r="I1129" s="106"/>
      <c r="J1129" s="107"/>
      <c r="K1129" s="107"/>
      <c r="L1129" s="106"/>
      <c r="M1129" s="107"/>
      <c r="N1129" s="106"/>
      <c r="O1129" s="107"/>
      <c r="P1129" s="106"/>
      <c r="Q1129" s="129"/>
      <c r="R1129" s="106"/>
      <c r="S1129" s="129"/>
      <c r="T1129" s="106"/>
    </row>
    <row r="1130" spans="1:20" x14ac:dyDescent="0.35">
      <c r="F1130" s="92"/>
      <c r="H1130" s="92"/>
      <c r="J1130" s="92"/>
      <c r="K1130" s="92"/>
      <c r="M1130" s="92"/>
      <c r="O1130" s="92"/>
      <c r="Q1130" s="95"/>
      <c r="S1130" s="95"/>
    </row>
    <row r="1131" spans="1:20" x14ac:dyDescent="0.35">
      <c r="F1131" s="92"/>
      <c r="H1131" s="92"/>
      <c r="J1131" s="92"/>
      <c r="K1131" s="92"/>
      <c r="M1131" s="92"/>
      <c r="O1131" s="92"/>
      <c r="Q1131" s="95"/>
      <c r="S1131" s="95"/>
    </row>
    <row r="1132" spans="1:20" x14ac:dyDescent="0.35">
      <c r="F1132" s="92"/>
      <c r="H1132" s="92"/>
      <c r="J1132" s="92"/>
      <c r="K1132" s="92"/>
      <c r="M1132" s="92"/>
      <c r="O1132" s="92"/>
      <c r="Q1132" s="95"/>
      <c r="S1132" s="95"/>
    </row>
    <row r="1133" spans="1:20" x14ac:dyDescent="0.35">
      <c r="F1133" s="92"/>
      <c r="H1133" s="92"/>
      <c r="J1133" s="92"/>
      <c r="K1133" s="92"/>
      <c r="M1133" s="92"/>
      <c r="O1133" s="92"/>
      <c r="Q1133" s="95"/>
      <c r="S1133" s="95"/>
    </row>
    <row r="1134" spans="1:20" x14ac:dyDescent="0.35">
      <c r="F1134" s="92"/>
      <c r="H1134" s="92"/>
      <c r="J1134" s="92"/>
      <c r="K1134" s="92"/>
      <c r="M1134" s="92"/>
      <c r="O1134" s="92"/>
      <c r="Q1134" s="95"/>
      <c r="S1134" s="95"/>
    </row>
    <row r="1135" spans="1:20" x14ac:dyDescent="0.35">
      <c r="F1135" s="92"/>
      <c r="H1135" s="92"/>
      <c r="J1135" s="92"/>
      <c r="K1135" s="92"/>
      <c r="M1135" s="92"/>
      <c r="O1135" s="92"/>
      <c r="Q1135" s="95"/>
      <c r="S1135" s="95"/>
    </row>
  </sheetData>
  <mergeCells count="4">
    <mergeCell ref="F5:J5"/>
    <mergeCell ref="M5:S5"/>
    <mergeCell ref="B1:S1"/>
    <mergeCell ref="B2:S2"/>
  </mergeCells>
  <phoneticPr fontId="18" type="noConversion"/>
  <pageMargins left="0.5" right="0.5" top="0.5" bottom="0.5" header="0.5" footer="0.5"/>
  <pageSetup scale="80" orientation="landscape" r:id="rId1"/>
  <headerFooter alignWithMargins="0">
    <oddHeader>&amp;R&amp;P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topLeftCell="C1" workbookViewId="0">
      <selection activeCell="B2" sqref="B2:J2"/>
    </sheetView>
  </sheetViews>
  <sheetFormatPr defaultColWidth="11.42578125" defaultRowHeight="13.5" x14ac:dyDescent="0.35"/>
  <cols>
    <col min="1" max="1" width="7.28515625" style="79" hidden="1" customWidth="1"/>
    <col min="2" max="2" width="15.5703125" style="79" hidden="1" customWidth="1"/>
    <col min="3" max="3" width="4.140625" style="79" customWidth="1"/>
    <col min="4" max="4" width="7.28515625" style="79" customWidth="1"/>
    <col min="5" max="5" width="1.85546875" style="79" customWidth="1"/>
    <col min="6" max="6" width="48" style="79" customWidth="1"/>
    <col min="7" max="7" width="1.85546875" style="79" customWidth="1"/>
    <col min="8" max="8" width="22.42578125" style="79" customWidth="1"/>
    <col min="9" max="9" width="1.85546875" style="79" customWidth="1"/>
    <col min="10" max="10" width="12.7109375" style="79" customWidth="1"/>
    <col min="11" max="16384" width="11.42578125" style="79"/>
  </cols>
  <sheetData>
    <row r="1" spans="2:10" ht="17.649999999999999" x14ac:dyDescent="0.35">
      <c r="B1" s="191" t="s">
        <v>471</v>
      </c>
      <c r="C1" s="191"/>
      <c r="D1" s="191"/>
      <c r="E1" s="191"/>
      <c r="F1" s="191"/>
      <c r="G1" s="191"/>
      <c r="H1" s="191"/>
      <c r="I1" s="191"/>
      <c r="J1" s="191"/>
    </row>
    <row r="2" spans="2:10" ht="17.649999999999999" x14ac:dyDescent="0.35">
      <c r="B2" s="191" t="s">
        <v>2812</v>
      </c>
      <c r="C2" s="191"/>
      <c r="D2" s="191"/>
      <c r="E2" s="191"/>
      <c r="F2" s="191"/>
      <c r="G2" s="191"/>
      <c r="H2" s="191"/>
      <c r="I2" s="191"/>
      <c r="J2" s="191"/>
    </row>
    <row r="3" spans="2:10" ht="17.649999999999999" x14ac:dyDescent="0.35">
      <c r="B3" s="140"/>
      <c r="C3" s="191" t="s">
        <v>2804</v>
      </c>
      <c r="D3" s="191"/>
      <c r="E3" s="191"/>
      <c r="F3" s="191"/>
      <c r="G3" s="191"/>
      <c r="H3" s="191"/>
      <c r="I3" s="191"/>
      <c r="J3" s="191"/>
    </row>
    <row r="4" spans="2:10" ht="17.649999999999999" x14ac:dyDescent="0.35">
      <c r="B4" s="140"/>
      <c r="C4" s="140"/>
      <c r="D4" s="140"/>
      <c r="E4" s="140"/>
      <c r="F4" s="140"/>
      <c r="G4" s="140"/>
      <c r="H4" s="140"/>
      <c r="I4" s="140"/>
      <c r="J4" s="140"/>
    </row>
    <row r="5" spans="2:10" ht="22.5" x14ac:dyDescent="0.35">
      <c r="B5" s="81"/>
      <c r="C5" s="81"/>
      <c r="D5" s="81"/>
      <c r="F5" s="81"/>
      <c r="H5" s="141"/>
      <c r="J5" s="81"/>
    </row>
    <row r="6" spans="2:10" ht="15" x14ac:dyDescent="0.4">
      <c r="D6" s="76"/>
      <c r="E6" s="76"/>
      <c r="F6" s="142" t="s">
        <v>2805</v>
      </c>
      <c r="G6" s="78"/>
      <c r="H6" s="78"/>
      <c r="I6" s="78"/>
      <c r="J6" s="143" t="s">
        <v>2806</v>
      </c>
    </row>
    <row r="7" spans="2:10" ht="15" x14ac:dyDescent="0.4">
      <c r="D7" s="76"/>
      <c r="E7" s="76"/>
      <c r="F7" s="118"/>
      <c r="G7" s="78"/>
      <c r="H7" s="78"/>
      <c r="I7" s="78"/>
      <c r="J7" s="144"/>
    </row>
    <row r="8" spans="2:10" ht="15" x14ac:dyDescent="0.4">
      <c r="D8" s="76"/>
      <c r="E8" s="76"/>
      <c r="F8" s="78"/>
      <c r="G8" s="78"/>
      <c r="H8" s="78"/>
      <c r="I8" s="78"/>
      <c r="J8" s="78"/>
    </row>
    <row r="9" spans="2:10" ht="15" x14ac:dyDescent="0.4">
      <c r="D9" s="76"/>
      <c r="E9" s="76"/>
      <c r="F9" s="145" t="s">
        <v>2807</v>
      </c>
      <c r="G9" s="78"/>
      <c r="H9" s="78"/>
      <c r="I9" s="78"/>
      <c r="J9" s="146" t="s">
        <v>2808</v>
      </c>
    </row>
    <row r="10" spans="2:10" ht="15" x14ac:dyDescent="0.4">
      <c r="D10" s="76"/>
      <c r="E10" s="76"/>
      <c r="F10" s="145"/>
      <c r="G10" s="78"/>
      <c r="H10" s="78"/>
      <c r="I10" s="78"/>
      <c r="J10" s="146"/>
    </row>
    <row r="11" spans="2:10" ht="15" x14ac:dyDescent="0.4">
      <c r="D11" s="76"/>
      <c r="E11" s="76"/>
      <c r="F11" s="78"/>
      <c r="G11" s="78"/>
      <c r="H11" s="78"/>
      <c r="I11" s="78"/>
      <c r="J11" s="144"/>
    </row>
    <row r="12" spans="2:10" ht="15" x14ac:dyDescent="0.4">
      <c r="D12" s="76"/>
      <c r="E12" s="76"/>
      <c r="F12" s="147" t="s">
        <v>1039</v>
      </c>
      <c r="G12" s="78"/>
      <c r="H12" s="78"/>
      <c r="I12" s="78"/>
      <c r="J12" s="144">
        <v>3</v>
      </c>
    </row>
    <row r="13" spans="2:10" ht="15" x14ac:dyDescent="0.4">
      <c r="D13" s="76"/>
      <c r="E13" s="76"/>
      <c r="F13" s="147"/>
      <c r="G13" s="78"/>
      <c r="H13" s="78"/>
      <c r="I13" s="78"/>
      <c r="J13" s="144"/>
    </row>
    <row r="14" spans="2:10" ht="15" x14ac:dyDescent="0.4">
      <c r="D14" s="76"/>
      <c r="E14" s="76"/>
      <c r="F14" s="147"/>
      <c r="G14" s="78"/>
      <c r="H14" s="78"/>
      <c r="I14" s="78"/>
      <c r="J14" s="144"/>
    </row>
    <row r="15" spans="2:10" ht="15" x14ac:dyDescent="0.4">
      <c r="D15" s="76"/>
      <c r="E15" s="76"/>
      <c r="F15" s="147" t="s">
        <v>1048</v>
      </c>
      <c r="G15" s="78"/>
      <c r="H15" s="78"/>
      <c r="I15" s="78"/>
      <c r="J15" s="144">
        <v>4</v>
      </c>
    </row>
    <row r="16" spans="2:10" ht="15" x14ac:dyDescent="0.4">
      <c r="D16" s="76"/>
      <c r="E16" s="76"/>
      <c r="F16" s="147"/>
      <c r="G16" s="78"/>
      <c r="H16" s="78"/>
      <c r="I16" s="78"/>
      <c r="J16" s="144"/>
    </row>
    <row r="17" spans="4:10" ht="15" x14ac:dyDescent="0.4">
      <c r="D17" s="76"/>
      <c r="E17" s="76"/>
      <c r="F17" s="147"/>
      <c r="G17" s="76"/>
      <c r="H17" s="76"/>
      <c r="I17" s="76"/>
      <c r="J17" s="118"/>
    </row>
    <row r="18" spans="4:10" ht="15" x14ac:dyDescent="0.4">
      <c r="D18" s="76"/>
      <c r="E18" s="76"/>
      <c r="F18" s="148" t="s">
        <v>502</v>
      </c>
      <c r="G18" s="76"/>
      <c r="H18" s="76"/>
      <c r="I18" s="76"/>
      <c r="J18" s="118">
        <v>5</v>
      </c>
    </row>
    <row r="19" spans="4:10" ht="15" x14ac:dyDescent="0.4">
      <c r="D19" s="76"/>
      <c r="E19" s="76"/>
      <c r="F19" s="148"/>
      <c r="G19" s="76"/>
      <c r="H19" s="76"/>
      <c r="I19" s="76"/>
      <c r="J19" s="118"/>
    </row>
    <row r="20" spans="4:10" ht="15" x14ac:dyDescent="0.4">
      <c r="D20" s="76"/>
      <c r="E20" s="76"/>
      <c r="F20" s="148"/>
      <c r="G20" s="76"/>
      <c r="H20" s="76"/>
      <c r="I20" s="76"/>
      <c r="J20" s="118"/>
    </row>
    <row r="21" spans="4:10" ht="15" x14ac:dyDescent="0.4">
      <c r="D21" s="76"/>
      <c r="E21" s="76"/>
      <c r="F21" s="148" t="s">
        <v>1067</v>
      </c>
      <c r="G21" s="76"/>
      <c r="H21" s="76"/>
      <c r="I21" s="76"/>
      <c r="J21" s="149" t="s">
        <v>2809</v>
      </c>
    </row>
    <row r="22" spans="4:10" ht="15" x14ac:dyDescent="0.4">
      <c r="D22" s="76"/>
      <c r="E22" s="76"/>
      <c r="F22" s="148"/>
      <c r="G22" s="76"/>
      <c r="H22" s="76"/>
      <c r="I22" s="76"/>
      <c r="J22" s="149"/>
    </row>
    <row r="23" spans="4:10" ht="15" x14ac:dyDescent="0.4">
      <c r="D23" s="76"/>
      <c r="E23" s="76"/>
      <c r="F23" s="76"/>
      <c r="G23" s="76"/>
      <c r="H23" s="76"/>
      <c r="I23" s="76"/>
      <c r="J23" s="118"/>
    </row>
    <row r="24" spans="4:10" ht="15" x14ac:dyDescent="0.4">
      <c r="D24" s="76"/>
      <c r="E24" s="76"/>
      <c r="F24" s="148" t="s">
        <v>1094</v>
      </c>
      <c r="G24" s="76"/>
      <c r="H24" s="76"/>
      <c r="I24" s="76"/>
      <c r="J24" s="150" t="s">
        <v>2810</v>
      </c>
    </row>
    <row r="25" spans="4:10" ht="15" x14ac:dyDescent="0.4">
      <c r="D25" s="76"/>
      <c r="E25" s="76"/>
      <c r="F25" s="148"/>
      <c r="G25" s="76"/>
      <c r="H25" s="76"/>
      <c r="I25" s="76"/>
      <c r="J25" s="150"/>
    </row>
    <row r="26" spans="4:10" ht="15" x14ac:dyDescent="0.4">
      <c r="D26" s="76"/>
      <c r="E26" s="76"/>
      <c r="F26" s="76"/>
      <c r="G26" s="76"/>
      <c r="H26" s="76"/>
      <c r="I26" s="76"/>
      <c r="J26" s="118"/>
    </row>
    <row r="27" spans="4:10" ht="15" x14ac:dyDescent="0.4">
      <c r="D27" s="76"/>
      <c r="E27" s="76"/>
      <c r="F27" s="148" t="s">
        <v>1142</v>
      </c>
      <c r="G27" s="76"/>
      <c r="H27" s="76"/>
      <c r="I27" s="76"/>
      <c r="J27" s="150" t="s">
        <v>2811</v>
      </c>
    </row>
    <row r="28" spans="4:10" ht="15" x14ac:dyDescent="0.4">
      <c r="D28" s="76"/>
      <c r="E28" s="76"/>
      <c r="F28" s="76"/>
      <c r="G28" s="76"/>
      <c r="H28" s="76"/>
      <c r="I28" s="76"/>
      <c r="J28" s="76"/>
    </row>
  </sheetData>
  <mergeCells count="3">
    <mergeCell ref="B1:J1"/>
    <mergeCell ref="B2:J2"/>
    <mergeCell ref="C3:J3"/>
  </mergeCells>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9"/>
  <sheetViews>
    <sheetView workbookViewId="0">
      <pane ySplit="1" topLeftCell="A12" activePane="bottomLeft" state="frozen"/>
      <selection sqref="A1:U1"/>
      <selection pane="bottomLeft" sqref="A1:U1"/>
    </sheetView>
  </sheetViews>
  <sheetFormatPr defaultColWidth="11.42578125" defaultRowHeight="15" x14ac:dyDescent="0.4"/>
  <cols>
    <col min="1" max="1" width="6.140625" style="88" customWidth="1"/>
    <col min="2" max="2" width="42.7109375" style="76" customWidth="1"/>
    <col min="3" max="3" width="1.5703125" style="79" customWidth="1"/>
    <col min="4" max="4" width="10.640625" style="79" bestFit="1" customWidth="1"/>
    <col min="5" max="5" width="1.85546875" style="79" customWidth="1"/>
    <col min="6" max="6" width="12.7109375" style="79" customWidth="1"/>
    <col min="7" max="7" width="1.5703125" style="79" customWidth="1"/>
    <col min="8" max="8" width="12.7109375" style="79" customWidth="1"/>
    <col min="9" max="9" width="1.5703125" style="79" customWidth="1"/>
    <col min="10" max="10" width="12.7109375" style="79" customWidth="1"/>
    <col min="11" max="11" width="1.5703125" style="79" customWidth="1"/>
    <col min="12" max="12" width="12.7109375" style="79" customWidth="1"/>
    <col min="13" max="13" width="1.5703125" style="79" customWidth="1"/>
    <col min="14" max="14" width="12.7109375" style="79" customWidth="1"/>
    <col min="15" max="15" width="1.5703125" style="79" customWidth="1"/>
    <col min="16" max="16" width="12.7109375" style="79" customWidth="1"/>
    <col min="17" max="17" width="1.5703125" style="79" customWidth="1"/>
    <col min="18" max="18" width="12.7109375" style="79" customWidth="1"/>
    <col min="19" max="19" width="1.5703125" style="79" customWidth="1"/>
    <col min="20" max="20" width="11.42578125" style="79"/>
    <col min="21" max="21" width="1.5703125" style="79" customWidth="1"/>
    <col min="22" max="16384" width="11.42578125" style="79"/>
  </cols>
  <sheetData>
    <row r="1" spans="1:21" ht="20.65" x14ac:dyDescent="0.35">
      <c r="A1" s="192" t="s">
        <v>471</v>
      </c>
      <c r="B1" s="192"/>
      <c r="C1" s="192"/>
      <c r="D1" s="192"/>
      <c r="E1" s="192"/>
      <c r="F1" s="192"/>
      <c r="G1" s="192"/>
      <c r="H1" s="192"/>
      <c r="I1" s="192"/>
      <c r="J1" s="192"/>
      <c r="K1" s="192"/>
      <c r="L1" s="192"/>
      <c r="M1" s="192"/>
      <c r="N1" s="192"/>
      <c r="O1" s="192"/>
      <c r="P1" s="192"/>
      <c r="Q1" s="192"/>
      <c r="R1" s="192"/>
      <c r="S1" s="192"/>
      <c r="T1" s="192"/>
      <c r="U1" s="192"/>
    </row>
    <row r="2" spans="1:21" ht="20.65" x14ac:dyDescent="0.6">
      <c r="A2" s="193" t="s">
        <v>2826</v>
      </c>
      <c r="B2" s="193"/>
      <c r="C2" s="193"/>
      <c r="D2" s="193"/>
      <c r="E2" s="193"/>
      <c r="F2" s="193"/>
      <c r="G2" s="193"/>
      <c r="H2" s="193"/>
      <c r="I2" s="193"/>
      <c r="J2" s="193"/>
      <c r="K2" s="193"/>
      <c r="L2" s="193"/>
      <c r="M2" s="193"/>
      <c r="N2" s="193"/>
      <c r="O2" s="193"/>
      <c r="P2" s="193"/>
      <c r="Q2" s="193"/>
      <c r="R2" s="193"/>
      <c r="S2" s="193"/>
      <c r="T2" s="193"/>
      <c r="U2" s="193"/>
    </row>
    <row r="3" spans="1:21" ht="20.65" x14ac:dyDescent="0.6">
      <c r="B3" s="24" t="s">
        <v>2823</v>
      </c>
      <c r="C3" s="160"/>
      <c r="D3" s="160"/>
      <c r="E3" s="160"/>
      <c r="F3" s="160"/>
      <c r="G3" s="160"/>
      <c r="H3" s="160"/>
      <c r="I3" s="160"/>
      <c r="J3" s="160"/>
      <c r="K3" s="160"/>
      <c r="L3" s="160"/>
      <c r="M3" s="160"/>
      <c r="N3" s="160"/>
      <c r="O3" s="160"/>
      <c r="P3" s="135"/>
      <c r="Q3" s="160"/>
      <c r="R3" s="135"/>
      <c r="S3" s="160"/>
      <c r="T3" s="135"/>
      <c r="U3" s="160"/>
    </row>
    <row r="4" spans="1:21" x14ac:dyDescent="0.4">
      <c r="B4" s="151"/>
      <c r="D4" s="115">
        <v>2014</v>
      </c>
      <c r="F4" s="115">
        <v>2015</v>
      </c>
      <c r="G4" s="175"/>
      <c r="H4" s="115">
        <v>2016</v>
      </c>
      <c r="I4" s="175"/>
      <c r="J4" s="115">
        <v>2017</v>
      </c>
      <c r="K4" s="175"/>
      <c r="L4" s="115">
        <v>2018</v>
      </c>
      <c r="M4" s="175"/>
      <c r="N4" s="115">
        <v>2019</v>
      </c>
      <c r="O4" s="168"/>
      <c r="P4" s="115">
        <v>2019</v>
      </c>
      <c r="Q4" s="168"/>
      <c r="R4" s="115">
        <v>2020</v>
      </c>
      <c r="S4" s="168"/>
      <c r="T4" s="115">
        <v>2021</v>
      </c>
      <c r="U4" s="168"/>
    </row>
    <row r="5" spans="1:21" x14ac:dyDescent="0.4">
      <c r="C5" s="173"/>
      <c r="D5" s="172" t="s">
        <v>2506</v>
      </c>
      <c r="E5" s="173"/>
      <c r="F5" s="172" t="s">
        <v>2506</v>
      </c>
      <c r="G5" s="173"/>
      <c r="H5" s="172" t="s">
        <v>2506</v>
      </c>
      <c r="I5" s="173"/>
      <c r="J5" s="172" t="s">
        <v>2506</v>
      </c>
      <c r="K5" s="173"/>
      <c r="L5" s="172" t="s">
        <v>2506</v>
      </c>
      <c r="M5" s="173"/>
      <c r="N5" s="172" t="s">
        <v>2506</v>
      </c>
      <c r="O5" s="174"/>
      <c r="P5" s="172" t="s">
        <v>1384</v>
      </c>
      <c r="Q5" s="169"/>
      <c r="R5" s="172" t="s">
        <v>1384</v>
      </c>
      <c r="S5" s="169"/>
      <c r="T5" s="172" t="s">
        <v>1384</v>
      </c>
      <c r="U5" s="169"/>
    </row>
    <row r="6" spans="1:21" x14ac:dyDescent="0.4">
      <c r="B6" s="77" t="s">
        <v>856</v>
      </c>
      <c r="F6" s="157"/>
      <c r="H6" s="157"/>
      <c r="J6" s="157"/>
      <c r="L6" s="157"/>
      <c r="N6" s="157"/>
      <c r="O6" s="169"/>
      <c r="P6" s="157"/>
      <c r="Q6" s="169"/>
      <c r="R6" s="157"/>
      <c r="S6" s="169"/>
      <c r="T6" s="157"/>
      <c r="U6" s="169"/>
    </row>
    <row r="7" spans="1:21" x14ac:dyDescent="0.4">
      <c r="B7" s="151" t="s">
        <v>2170</v>
      </c>
      <c r="D7" s="80">
        <v>3309573</v>
      </c>
      <c r="F7" s="156">
        <v>3156618</v>
      </c>
      <c r="H7" s="156">
        <v>3175708</v>
      </c>
      <c r="J7" s="156">
        <v>3341464</v>
      </c>
      <c r="L7" s="156">
        <v>3545769</v>
      </c>
      <c r="N7" s="80">
        <v>3494455.11</v>
      </c>
      <c r="O7" s="169"/>
      <c r="P7" s="156">
        <v>3200000</v>
      </c>
      <c r="Q7" s="169"/>
      <c r="R7" s="156">
        <v>3300000</v>
      </c>
      <c r="S7" s="169"/>
      <c r="T7" s="156">
        <v>3225500</v>
      </c>
      <c r="U7" s="169"/>
    </row>
    <row r="8" spans="1:21" ht="13.9" x14ac:dyDescent="0.4">
      <c r="A8" s="164"/>
      <c r="B8" s="165" t="s">
        <v>2818</v>
      </c>
      <c r="D8" s="156">
        <v>25000</v>
      </c>
      <c r="F8" s="156"/>
      <c r="H8" s="156"/>
      <c r="J8" s="156"/>
      <c r="L8" s="156"/>
      <c r="N8" s="156"/>
      <c r="O8" s="169"/>
      <c r="P8" s="156"/>
      <c r="Q8" s="169"/>
      <c r="R8" s="156"/>
      <c r="S8" s="169"/>
      <c r="T8" s="156"/>
      <c r="U8" s="169"/>
    </row>
    <row r="9" spans="1:21" ht="13.9" x14ac:dyDescent="0.4">
      <c r="A9" s="164"/>
      <c r="B9" s="165" t="s">
        <v>2819</v>
      </c>
      <c r="D9" s="156">
        <v>9900</v>
      </c>
      <c r="F9" s="156"/>
      <c r="H9" s="156"/>
      <c r="J9" s="156"/>
      <c r="L9" s="156"/>
      <c r="N9" s="156"/>
      <c r="O9" s="169"/>
      <c r="P9" s="156"/>
      <c r="Q9" s="169"/>
      <c r="R9" s="156"/>
      <c r="S9" s="169"/>
      <c r="T9" s="156"/>
      <c r="U9" s="169"/>
    </row>
    <row r="10" spans="1:21" ht="13.9" x14ac:dyDescent="0.4">
      <c r="A10" s="164"/>
      <c r="B10" s="165" t="s">
        <v>2821</v>
      </c>
      <c r="D10" s="156"/>
      <c r="F10" s="156"/>
      <c r="H10" s="156">
        <v>13000</v>
      </c>
      <c r="J10" s="156"/>
      <c r="L10" s="156"/>
      <c r="N10" s="156"/>
      <c r="O10" s="169"/>
      <c r="P10" s="156"/>
      <c r="Q10" s="169"/>
      <c r="R10" s="156"/>
      <c r="S10" s="169"/>
      <c r="T10" s="156"/>
      <c r="U10" s="169"/>
    </row>
    <row r="11" spans="1:21" ht="13.9" x14ac:dyDescent="0.4">
      <c r="A11" s="164"/>
      <c r="B11" s="165" t="s">
        <v>2820</v>
      </c>
      <c r="D11" s="156"/>
      <c r="F11" s="156"/>
      <c r="H11" s="156">
        <v>29000</v>
      </c>
      <c r="J11" s="156"/>
      <c r="L11" s="156"/>
      <c r="N11" s="156"/>
      <c r="O11" s="169"/>
      <c r="P11" s="156"/>
      <c r="Q11" s="169"/>
      <c r="R11" s="156"/>
      <c r="S11" s="169"/>
      <c r="T11" s="156"/>
      <c r="U11" s="169"/>
    </row>
    <row r="12" spans="1:21" ht="15.4" thickBot="1" x14ac:dyDescent="0.45">
      <c r="B12" s="151" t="s">
        <v>863</v>
      </c>
      <c r="D12" s="117">
        <f>SUM(D7:D11)</f>
        <v>3344473</v>
      </c>
      <c r="F12" s="117">
        <f>SUM(F7:F11)</f>
        <v>3156618</v>
      </c>
      <c r="H12" s="117">
        <f>SUM(H7:H11)</f>
        <v>3217708</v>
      </c>
      <c r="J12" s="117">
        <f>SUM(J7:J11)</f>
        <v>3341464</v>
      </c>
      <c r="L12" s="117">
        <f>SUM(L7:L11)</f>
        <v>3545769</v>
      </c>
      <c r="N12" s="117">
        <f>SUM(N7:N11)</f>
        <v>3494455.11</v>
      </c>
      <c r="O12" s="169"/>
      <c r="P12" s="117">
        <f>SUM(P7:P11)</f>
        <v>3200000</v>
      </c>
      <c r="Q12" s="169"/>
      <c r="R12" s="117">
        <f>SUM(R7:R11)</f>
        <v>3300000</v>
      </c>
      <c r="S12" s="169"/>
      <c r="T12" s="117">
        <f>SUM(T7:T11)</f>
        <v>3225500</v>
      </c>
      <c r="U12" s="169"/>
    </row>
    <row r="13" spans="1:21" ht="15.4" thickTop="1" x14ac:dyDescent="0.4">
      <c r="F13" s="153"/>
      <c r="H13" s="153"/>
      <c r="J13" s="153"/>
      <c r="L13" s="153"/>
      <c r="N13" s="153"/>
      <c r="O13" s="169"/>
      <c r="P13" s="153"/>
      <c r="Q13" s="169"/>
      <c r="R13" s="153"/>
      <c r="S13" s="169"/>
      <c r="T13" s="153"/>
      <c r="U13" s="169"/>
    </row>
    <row r="14" spans="1:21" x14ac:dyDescent="0.4">
      <c r="B14" s="118" t="s">
        <v>2813</v>
      </c>
      <c r="F14" s="152"/>
      <c r="H14" s="152"/>
      <c r="J14" s="152"/>
      <c r="L14" s="152"/>
      <c r="N14" s="152"/>
      <c r="O14" s="169"/>
      <c r="P14" s="152"/>
      <c r="Q14" s="169"/>
      <c r="R14" s="152"/>
      <c r="S14" s="169"/>
      <c r="T14" s="152"/>
      <c r="U14" s="169"/>
    </row>
    <row r="15" spans="1:21" x14ac:dyDescent="0.4">
      <c r="B15" s="118"/>
      <c r="F15" s="152"/>
      <c r="H15" s="152"/>
      <c r="J15" s="152"/>
      <c r="L15" s="152"/>
      <c r="N15" s="152"/>
      <c r="O15" s="169"/>
      <c r="P15" s="152"/>
      <c r="Q15" s="169"/>
      <c r="R15" s="152"/>
      <c r="S15" s="169"/>
      <c r="T15" s="152"/>
      <c r="U15" s="169"/>
    </row>
    <row r="16" spans="1:21" ht="13.9" x14ac:dyDescent="0.4">
      <c r="B16" s="133" t="s">
        <v>2817</v>
      </c>
      <c r="C16" s="114"/>
      <c r="D16" s="114">
        <v>483979</v>
      </c>
      <c r="E16" s="114"/>
      <c r="F16" s="155">
        <v>471209</v>
      </c>
      <c r="G16" s="114"/>
      <c r="H16" s="155">
        <v>531106</v>
      </c>
      <c r="I16" s="114"/>
      <c r="J16" s="155">
        <v>570976</v>
      </c>
      <c r="K16" s="114"/>
      <c r="L16" s="155">
        <v>600718</v>
      </c>
      <c r="M16" s="114"/>
      <c r="N16" s="155">
        <v>584397.89</v>
      </c>
      <c r="O16" s="170"/>
      <c r="P16" s="155">
        <v>682745</v>
      </c>
      <c r="Q16" s="170"/>
      <c r="R16" s="155">
        <v>698495</v>
      </c>
      <c r="S16" s="170"/>
      <c r="T16" s="155">
        <v>550079</v>
      </c>
      <c r="U16" s="170"/>
    </row>
    <row r="17" spans="2:21" ht="13.9" x14ac:dyDescent="0.4">
      <c r="B17" s="133"/>
      <c r="C17" s="114"/>
      <c r="D17" s="114"/>
      <c r="E17" s="114"/>
      <c r="F17" s="154"/>
      <c r="G17" s="114"/>
      <c r="H17" s="154"/>
      <c r="I17" s="114"/>
      <c r="J17" s="154"/>
      <c r="K17" s="114"/>
      <c r="L17" s="154"/>
      <c r="M17" s="114"/>
      <c r="N17" s="176"/>
      <c r="O17" s="170"/>
      <c r="P17" s="154"/>
      <c r="Q17" s="170"/>
      <c r="R17" s="154"/>
      <c r="S17" s="170"/>
      <c r="T17" s="176"/>
      <c r="U17" s="170"/>
    </row>
    <row r="18" spans="2:21" ht="13.9" x14ac:dyDescent="0.4">
      <c r="B18" s="88" t="s">
        <v>2815</v>
      </c>
      <c r="D18" s="114">
        <v>71505</v>
      </c>
      <c r="F18" s="155">
        <v>92983</v>
      </c>
      <c r="H18" s="155">
        <v>40036</v>
      </c>
      <c r="J18" s="155">
        <v>124611</v>
      </c>
      <c r="L18" s="155">
        <v>123252</v>
      </c>
      <c r="N18" s="155">
        <v>131436.37</v>
      </c>
      <c r="O18" s="169"/>
      <c r="P18" s="155">
        <v>125312</v>
      </c>
      <c r="Q18" s="169"/>
      <c r="R18" s="155">
        <v>181912</v>
      </c>
      <c r="S18" s="169"/>
      <c r="T18" s="155">
        <v>173912</v>
      </c>
      <c r="U18" s="169"/>
    </row>
    <row r="19" spans="2:21" ht="13.9" x14ac:dyDescent="0.4">
      <c r="B19" s="83"/>
      <c r="C19" s="114"/>
      <c r="D19" s="134"/>
      <c r="E19" s="114"/>
      <c r="F19" s="152"/>
      <c r="G19" s="114"/>
      <c r="H19" s="152"/>
      <c r="I19" s="114"/>
      <c r="J19" s="152"/>
      <c r="K19" s="114"/>
      <c r="L19" s="152"/>
      <c r="M19" s="114"/>
      <c r="N19" s="177"/>
      <c r="O19" s="170"/>
      <c r="P19" s="152"/>
      <c r="Q19" s="170"/>
      <c r="R19" s="152"/>
      <c r="S19" s="170"/>
      <c r="T19" s="177"/>
      <c r="U19" s="170"/>
    </row>
    <row r="20" spans="2:21" ht="13.9" x14ac:dyDescent="0.4">
      <c r="B20" s="133" t="s">
        <v>2814</v>
      </c>
      <c r="C20" s="114"/>
      <c r="D20" s="114">
        <v>5930</v>
      </c>
      <c r="F20" s="155">
        <v>2183</v>
      </c>
      <c r="H20" s="155">
        <v>5344</v>
      </c>
      <c r="J20" s="155">
        <v>4398</v>
      </c>
      <c r="L20" s="155">
        <v>6735</v>
      </c>
      <c r="N20" s="155">
        <v>7786.9</v>
      </c>
      <c r="O20" s="169"/>
      <c r="P20" s="155">
        <v>14270</v>
      </c>
      <c r="Q20" s="169"/>
      <c r="R20" s="155">
        <v>16660</v>
      </c>
      <c r="S20" s="169"/>
      <c r="T20" s="155">
        <v>16160</v>
      </c>
      <c r="U20" s="169"/>
    </row>
    <row r="21" spans="2:21" ht="13.9" x14ac:dyDescent="0.4">
      <c r="B21" s="133"/>
      <c r="C21" s="114"/>
      <c r="D21" s="114"/>
      <c r="F21" s="158"/>
      <c r="H21" s="158"/>
      <c r="J21" s="158"/>
      <c r="L21" s="158"/>
      <c r="N21" s="178"/>
      <c r="O21" s="169"/>
      <c r="P21" s="158"/>
      <c r="Q21" s="169"/>
      <c r="R21" s="158"/>
      <c r="S21" s="169"/>
      <c r="T21" s="178"/>
      <c r="U21" s="169"/>
    </row>
    <row r="22" spans="2:21" ht="13.9" x14ac:dyDescent="0.4">
      <c r="B22" s="88" t="s">
        <v>2816</v>
      </c>
      <c r="C22" s="114"/>
      <c r="D22" s="114">
        <v>1442651</v>
      </c>
      <c r="F22" s="155">
        <v>1454695</v>
      </c>
      <c r="H22" s="155">
        <v>1524024</v>
      </c>
      <c r="J22" s="155">
        <v>1475856</v>
      </c>
      <c r="L22" s="155">
        <v>1324642</v>
      </c>
      <c r="N22" s="155">
        <v>1426475.85</v>
      </c>
      <c r="O22" s="169"/>
      <c r="P22" s="155">
        <v>1445346</v>
      </c>
      <c r="Q22" s="169"/>
      <c r="R22" s="155">
        <v>1560075</v>
      </c>
      <c r="S22" s="169"/>
      <c r="T22" s="155">
        <v>1650811.75</v>
      </c>
      <c r="U22" s="169"/>
    </row>
    <row r="23" spans="2:21" x14ac:dyDescent="0.4">
      <c r="C23" s="80"/>
      <c r="D23" s="114"/>
      <c r="F23" s="158"/>
      <c r="H23" s="158"/>
      <c r="J23" s="158"/>
      <c r="L23" s="158"/>
      <c r="N23" s="178"/>
      <c r="O23" s="169"/>
      <c r="P23" s="158"/>
      <c r="Q23" s="169"/>
      <c r="R23" s="158"/>
      <c r="S23" s="169"/>
      <c r="T23" s="178"/>
      <c r="U23" s="169"/>
    </row>
    <row r="24" spans="2:21" ht="13.9" x14ac:dyDescent="0.4">
      <c r="B24" s="88" t="s">
        <v>2822</v>
      </c>
      <c r="C24" s="80"/>
      <c r="D24" s="114">
        <v>819236</v>
      </c>
      <c r="F24" s="155">
        <v>805972</v>
      </c>
      <c r="H24" s="155">
        <v>817252</v>
      </c>
      <c r="J24" s="155">
        <v>738023</v>
      </c>
      <c r="L24" s="155">
        <v>627925</v>
      </c>
      <c r="N24" s="155">
        <v>683643.82000000007</v>
      </c>
      <c r="O24" s="169"/>
      <c r="P24" s="155">
        <v>744650</v>
      </c>
      <c r="Q24" s="169"/>
      <c r="R24" s="155">
        <v>828739</v>
      </c>
      <c r="S24" s="169"/>
      <c r="T24" s="155">
        <v>834537</v>
      </c>
      <c r="U24" s="169"/>
    </row>
    <row r="25" spans="2:21" ht="13.9" x14ac:dyDescent="0.4">
      <c r="B25" s="133"/>
      <c r="C25" s="80"/>
      <c r="D25" s="114"/>
      <c r="E25" s="80"/>
      <c r="F25" s="155"/>
      <c r="G25" s="80"/>
      <c r="H25" s="155"/>
      <c r="I25" s="80"/>
      <c r="J25" s="155"/>
      <c r="K25" s="80"/>
      <c r="L25" s="155"/>
      <c r="M25" s="80"/>
      <c r="N25" s="155"/>
      <c r="O25" s="171"/>
      <c r="P25" s="155"/>
      <c r="Q25" s="171"/>
      <c r="R25" s="155"/>
      <c r="S25" s="171"/>
      <c r="T25" s="155"/>
      <c r="U25" s="171"/>
    </row>
    <row r="26" spans="2:21" ht="13.9" x14ac:dyDescent="0.4">
      <c r="B26" s="133" t="s">
        <v>1042</v>
      </c>
      <c r="C26" s="80"/>
      <c r="D26" s="166">
        <f>SUM(D16:D24)</f>
        <v>2823301</v>
      </c>
      <c r="E26" s="80"/>
      <c r="F26" s="166">
        <f>SUM(F16:F24)</f>
        <v>2827042</v>
      </c>
      <c r="G26" s="80"/>
      <c r="H26" s="166">
        <f>SUM(H16:H24)</f>
        <v>2917762</v>
      </c>
      <c r="I26" s="80"/>
      <c r="J26" s="166">
        <f>SUM(J16:J24)</f>
        <v>2913864</v>
      </c>
      <c r="K26" s="80"/>
      <c r="L26" s="166">
        <f>SUM(L16:L24)</f>
        <v>2683272</v>
      </c>
      <c r="M26" s="80"/>
      <c r="N26" s="166">
        <f>SUM(N16:N24)</f>
        <v>2833740.83</v>
      </c>
      <c r="O26" s="171"/>
      <c r="P26" s="166">
        <f>SUM(P16:P24)</f>
        <v>3012323</v>
      </c>
      <c r="Q26" s="171"/>
      <c r="R26" s="166">
        <f>SUM(R16:R24)</f>
        <v>3285881</v>
      </c>
      <c r="S26" s="171"/>
      <c r="T26" s="166">
        <f>SUM(T16:T24)</f>
        <v>3225499.75</v>
      </c>
      <c r="U26" s="171"/>
    </row>
    <row r="27" spans="2:21" ht="13.9" x14ac:dyDescent="0.4">
      <c r="B27" s="133"/>
      <c r="C27" s="80"/>
      <c r="D27" s="114"/>
      <c r="E27" s="80"/>
      <c r="F27" s="155"/>
      <c r="G27" s="80"/>
      <c r="H27" s="155"/>
      <c r="I27" s="80"/>
      <c r="J27" s="155"/>
      <c r="K27" s="80"/>
      <c r="L27" s="155"/>
      <c r="M27" s="80"/>
      <c r="N27" s="155"/>
      <c r="O27" s="171"/>
      <c r="P27" s="155"/>
      <c r="Q27" s="171"/>
      <c r="R27" s="155"/>
      <c r="S27" s="171"/>
      <c r="T27" s="155"/>
      <c r="U27" s="171"/>
    </row>
    <row r="28" spans="2:21" ht="13.9" x14ac:dyDescent="0.4">
      <c r="B28" s="133" t="s">
        <v>2824</v>
      </c>
      <c r="C28" s="80"/>
      <c r="D28" s="114">
        <v>0</v>
      </c>
      <c r="E28" s="80"/>
      <c r="F28" s="155">
        <v>0</v>
      </c>
      <c r="G28" s="80"/>
      <c r="H28" s="155">
        <v>0</v>
      </c>
      <c r="I28" s="80"/>
      <c r="J28" s="155">
        <v>0</v>
      </c>
      <c r="K28" s="80"/>
      <c r="L28" s="155">
        <v>603747</v>
      </c>
      <c r="M28" s="80"/>
      <c r="N28" s="155">
        <v>442678.5</v>
      </c>
      <c r="O28" s="171"/>
      <c r="P28" s="155">
        <v>131374</v>
      </c>
      <c r="Q28" s="171"/>
      <c r="R28" s="155">
        <v>9883</v>
      </c>
      <c r="S28" s="171"/>
      <c r="T28" s="155">
        <v>0</v>
      </c>
      <c r="U28" s="171"/>
    </row>
    <row r="29" spans="2:21" ht="13.9" x14ac:dyDescent="0.4">
      <c r="B29" s="133"/>
      <c r="C29" s="80"/>
      <c r="D29" s="114"/>
      <c r="E29" s="80"/>
      <c r="F29" s="155"/>
      <c r="G29" s="80"/>
      <c r="H29" s="155"/>
      <c r="I29" s="80"/>
      <c r="J29" s="155"/>
      <c r="K29" s="80"/>
      <c r="L29" s="155"/>
      <c r="M29" s="80"/>
      <c r="N29" s="155"/>
      <c r="O29" s="171"/>
      <c r="P29" s="155"/>
      <c r="Q29" s="171"/>
      <c r="R29" s="155"/>
      <c r="S29" s="171"/>
      <c r="T29" s="155"/>
      <c r="U29" s="171"/>
    </row>
    <row r="30" spans="2:21" ht="13.9" x14ac:dyDescent="0.4">
      <c r="B30" s="133" t="s">
        <v>2825</v>
      </c>
      <c r="C30" s="80"/>
      <c r="D30" s="114">
        <f>SUM(D12-D26-D28)</f>
        <v>521172</v>
      </c>
      <c r="E30" s="80"/>
      <c r="F30" s="114">
        <v>329576</v>
      </c>
      <c r="G30" s="80"/>
      <c r="H30" s="114">
        <v>299946</v>
      </c>
      <c r="I30" s="80"/>
      <c r="J30" s="114">
        <v>427600</v>
      </c>
      <c r="K30" s="80"/>
      <c r="L30" s="114">
        <v>258750</v>
      </c>
      <c r="M30" s="80"/>
      <c r="N30" s="114">
        <v>218036</v>
      </c>
      <c r="O30" s="171"/>
      <c r="P30" s="114">
        <v>56303</v>
      </c>
      <c r="Q30" s="171"/>
      <c r="R30" s="114">
        <v>4236</v>
      </c>
      <c r="S30" s="171"/>
      <c r="T30" s="114">
        <v>0</v>
      </c>
      <c r="U30" s="171"/>
    </row>
    <row r="31" spans="2:21" x14ac:dyDescent="0.4">
      <c r="C31" s="80"/>
      <c r="D31" s="99"/>
      <c r="E31" s="80"/>
      <c r="F31" s="159"/>
      <c r="G31" s="80"/>
      <c r="H31" s="159"/>
      <c r="I31" s="80"/>
      <c r="J31" s="159"/>
      <c r="K31" s="80"/>
      <c r="L31" s="159"/>
      <c r="M31" s="80"/>
      <c r="N31" s="159"/>
      <c r="O31" s="171"/>
      <c r="P31" s="159"/>
      <c r="Q31" s="171"/>
      <c r="R31" s="159"/>
      <c r="S31" s="171"/>
      <c r="T31" s="159"/>
      <c r="U31" s="171"/>
    </row>
    <row r="32" spans="2:21" ht="15.4" thickBot="1" x14ac:dyDescent="0.45">
      <c r="B32" s="148" t="s">
        <v>2532</v>
      </c>
      <c r="C32" s="80"/>
      <c r="D32" s="117">
        <f>SUM(D26:D30)</f>
        <v>3344473</v>
      </c>
      <c r="E32" s="80"/>
      <c r="F32" s="117">
        <f>SUM(F26:F30)</f>
        <v>3156618</v>
      </c>
      <c r="G32" s="80"/>
      <c r="H32" s="117">
        <f>SUM(H26:H30)</f>
        <v>3217708</v>
      </c>
      <c r="I32" s="80"/>
      <c r="J32" s="117">
        <f>SUM(J26:J30)</f>
        <v>3341464</v>
      </c>
      <c r="K32" s="80"/>
      <c r="L32" s="117">
        <f>SUM(L26:L30)</f>
        <v>3545769</v>
      </c>
      <c r="M32" s="80"/>
      <c r="N32" s="117">
        <f>SUM(N26:N30)</f>
        <v>3494455.33</v>
      </c>
      <c r="O32" s="171"/>
      <c r="P32" s="117">
        <f>SUM(P26:P30)</f>
        <v>3200000</v>
      </c>
      <c r="Q32" s="171"/>
      <c r="R32" s="117">
        <f>SUM(R26:R30)</f>
        <v>3300000</v>
      </c>
      <c r="S32" s="171"/>
      <c r="T32" s="117">
        <f>SUM(T26:T30)</f>
        <v>3225499.75</v>
      </c>
      <c r="U32" s="171"/>
    </row>
    <row r="33" spans="1:21" ht="15.4" thickTop="1" x14ac:dyDescent="0.4">
      <c r="C33" s="80"/>
      <c r="D33" s="80"/>
      <c r="E33" s="80"/>
      <c r="F33" s="80"/>
      <c r="G33" s="80"/>
      <c r="H33" s="80"/>
      <c r="I33" s="80"/>
      <c r="J33" s="80"/>
      <c r="K33" s="80"/>
      <c r="L33" s="80"/>
      <c r="M33" s="80"/>
      <c r="N33" s="80"/>
      <c r="O33" s="80"/>
      <c r="P33" s="80"/>
      <c r="Q33" s="80"/>
      <c r="R33" s="80"/>
      <c r="S33" s="80"/>
      <c r="U33" s="80"/>
    </row>
    <row r="34" spans="1:21" ht="13.5" x14ac:dyDescent="0.35">
      <c r="A34" s="79"/>
      <c r="B34" s="167"/>
      <c r="C34" s="80"/>
      <c r="D34" s="80"/>
      <c r="E34" s="80"/>
      <c r="F34" s="80"/>
      <c r="G34" s="80"/>
      <c r="I34" s="80"/>
      <c r="J34" s="80"/>
      <c r="K34" s="80"/>
    </row>
    <row r="35" spans="1:21" ht="20.100000000000001" customHeight="1" x14ac:dyDescent="0.35">
      <c r="A35" s="161"/>
      <c r="B35" s="162"/>
      <c r="C35" s="163"/>
      <c r="D35" s="163"/>
      <c r="E35" s="80"/>
      <c r="F35" s="80"/>
      <c r="G35" s="80"/>
      <c r="I35" s="80"/>
      <c r="J35" s="80"/>
      <c r="K35" s="80"/>
      <c r="M35" s="161"/>
    </row>
    <row r="36" spans="1:21" ht="20.100000000000001" customHeight="1" x14ac:dyDescent="0.35">
      <c r="A36" s="161"/>
      <c r="B36" s="162"/>
      <c r="C36" s="163"/>
      <c r="D36" s="163"/>
      <c r="E36" s="80"/>
      <c r="F36" s="80"/>
      <c r="G36" s="80"/>
      <c r="I36" s="80"/>
      <c r="J36" s="80"/>
      <c r="K36" s="80"/>
      <c r="M36" s="161"/>
    </row>
    <row r="37" spans="1:21" ht="20.100000000000001" customHeight="1" x14ac:dyDescent="0.35">
      <c r="A37" s="161"/>
      <c r="B37" s="161"/>
      <c r="C37" s="162"/>
      <c r="D37" s="162"/>
      <c r="E37" s="80"/>
      <c r="F37" s="80"/>
      <c r="G37" s="80"/>
      <c r="I37" s="80"/>
      <c r="J37" s="80"/>
      <c r="K37" s="80"/>
      <c r="M37" s="161"/>
    </row>
    <row r="38" spans="1:21" ht="13.9" x14ac:dyDescent="0.4">
      <c r="A38" s="164"/>
      <c r="B38" s="162"/>
      <c r="C38" s="162"/>
      <c r="D38" s="162"/>
      <c r="E38" s="80"/>
      <c r="F38" s="80"/>
      <c r="G38" s="80"/>
      <c r="I38" s="80"/>
      <c r="J38" s="80"/>
      <c r="K38" s="80"/>
      <c r="M38" s="161"/>
    </row>
    <row r="39" spans="1:21" ht="13.9" x14ac:dyDescent="0.4">
      <c r="A39" s="164"/>
      <c r="B39" s="162"/>
      <c r="C39" s="162"/>
      <c r="D39" s="162"/>
      <c r="E39" s="80"/>
      <c r="F39" s="80"/>
      <c r="G39" s="80"/>
      <c r="I39" s="80"/>
      <c r="J39" s="80"/>
      <c r="K39" s="80"/>
      <c r="M39" s="161"/>
    </row>
  </sheetData>
  <mergeCells count="2">
    <mergeCell ref="A1:U1"/>
    <mergeCell ref="A2:U2"/>
  </mergeCells>
  <pageMargins left="0.25" right="0.25" top="1" bottom="0.25" header="0" footer="0"/>
  <pageSetup scale="80" orientation="landscape" r:id="rId1"/>
  <headerFooter>
    <oddFooter>&amp;R&amp;8&amp;F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8"/>
  <sheetViews>
    <sheetView topLeftCell="A69" workbookViewId="0">
      <selection sqref="A1:U1"/>
    </sheetView>
  </sheetViews>
  <sheetFormatPr defaultColWidth="11.42578125" defaultRowHeight="15" x14ac:dyDescent="0.4"/>
  <cols>
    <col min="1" max="1" width="6.85546875" style="79" bestFit="1" customWidth="1"/>
    <col min="2" max="2" width="43.7109375" style="76" customWidth="1"/>
    <col min="3" max="3" width="1.85546875" style="79" customWidth="1"/>
    <col min="4" max="4" width="11.7109375" style="79" customWidth="1"/>
    <col min="5" max="5" width="1.85546875" style="79" customWidth="1"/>
    <col min="6" max="6" width="11.7109375" style="79" customWidth="1"/>
    <col min="7" max="7" width="1.85546875" style="79" customWidth="1"/>
    <col min="8" max="8" width="11.7109375" style="79" customWidth="1"/>
    <col min="9" max="9" width="1.85546875" style="79" customWidth="1"/>
    <col min="10" max="10" width="11.7109375" style="79" customWidth="1"/>
    <col min="11" max="11" width="1.85546875" style="79" customWidth="1"/>
    <col min="12" max="12" width="11.7109375" style="79" customWidth="1"/>
    <col min="13" max="13" width="1.85546875" style="79" customWidth="1"/>
    <col min="14" max="14" width="11.7109375" style="79" customWidth="1"/>
    <col min="15" max="15" width="1.85546875" style="79" customWidth="1"/>
    <col min="16" max="16" width="11.7109375" style="79" customWidth="1"/>
    <col min="17" max="17" width="1.7109375" style="79" customWidth="1"/>
    <col min="18" max="18" width="11.7109375" style="79" customWidth="1"/>
    <col min="19" max="19" width="1.7109375" style="79" customWidth="1"/>
    <col min="20" max="20" width="11.85546875" style="79" bestFit="1" customWidth="1"/>
    <col min="21" max="21" width="1.7109375" style="79" customWidth="1"/>
    <col min="22" max="16384" width="11.42578125" style="79"/>
  </cols>
  <sheetData>
    <row r="1" spans="1:21" ht="20.65" x14ac:dyDescent="0.35">
      <c r="A1" s="192" t="s">
        <v>471</v>
      </c>
      <c r="B1" s="192"/>
      <c r="C1" s="192"/>
      <c r="D1" s="192"/>
      <c r="E1" s="192"/>
      <c r="F1" s="192"/>
      <c r="G1" s="192"/>
      <c r="H1" s="192"/>
      <c r="I1" s="192"/>
      <c r="J1" s="192"/>
      <c r="K1" s="192"/>
      <c r="L1" s="192"/>
      <c r="M1" s="192"/>
      <c r="N1" s="192"/>
      <c r="O1" s="192"/>
      <c r="P1" s="192"/>
      <c r="Q1" s="192"/>
      <c r="R1" s="192"/>
      <c r="S1" s="192"/>
      <c r="T1" s="192"/>
      <c r="U1" s="192"/>
    </row>
    <row r="2" spans="1:21" ht="20.65" x14ac:dyDescent="0.6">
      <c r="A2" s="193" t="s">
        <v>2826</v>
      </c>
      <c r="B2" s="193"/>
      <c r="C2" s="193"/>
      <c r="D2" s="193"/>
      <c r="E2" s="193"/>
      <c r="F2" s="193"/>
      <c r="G2" s="193"/>
      <c r="H2" s="193"/>
      <c r="I2" s="193"/>
      <c r="J2" s="193"/>
      <c r="K2" s="193"/>
      <c r="L2" s="193"/>
      <c r="M2" s="193"/>
      <c r="N2" s="193"/>
      <c r="O2" s="193"/>
      <c r="P2" s="193"/>
      <c r="Q2" s="193"/>
      <c r="R2" s="193"/>
      <c r="S2" s="193"/>
      <c r="T2" s="193"/>
      <c r="U2" s="193"/>
    </row>
    <row r="3" spans="1:21" ht="20.65" x14ac:dyDescent="0.6">
      <c r="A3" s="194" t="s">
        <v>2827</v>
      </c>
      <c r="B3" s="195" t="s">
        <v>2828</v>
      </c>
      <c r="D3" s="180"/>
      <c r="N3" s="196"/>
      <c r="O3" s="197"/>
      <c r="P3" s="29"/>
      <c r="Q3" s="198"/>
      <c r="R3" s="29"/>
      <c r="S3" s="198"/>
      <c r="U3" s="197"/>
    </row>
    <row r="4" spans="1:21" x14ac:dyDescent="0.4">
      <c r="A4" s="194" t="s">
        <v>2829</v>
      </c>
      <c r="B4" s="118" t="s">
        <v>2813</v>
      </c>
      <c r="D4" s="115">
        <v>2014</v>
      </c>
      <c r="F4" s="115">
        <v>2015</v>
      </c>
      <c r="G4" s="82"/>
      <c r="H4" s="115">
        <v>2016</v>
      </c>
      <c r="I4" s="82"/>
      <c r="J4" s="115">
        <v>2017</v>
      </c>
      <c r="K4" s="82"/>
      <c r="L4" s="115">
        <v>2018</v>
      </c>
      <c r="M4" s="82"/>
      <c r="N4" s="115">
        <v>2019</v>
      </c>
      <c r="O4" s="199"/>
      <c r="P4" s="115">
        <v>2019</v>
      </c>
      <c r="Q4" s="200"/>
      <c r="R4" s="115">
        <v>2020</v>
      </c>
      <c r="S4" s="200"/>
      <c r="T4" s="115">
        <v>2021</v>
      </c>
      <c r="U4" s="197"/>
    </row>
    <row r="5" spans="1:21" ht="13.9" x14ac:dyDescent="0.35">
      <c r="B5" s="79"/>
      <c r="D5" s="115" t="s">
        <v>2506</v>
      </c>
      <c r="F5" s="115" t="s">
        <v>2506</v>
      </c>
      <c r="H5" s="115" t="s">
        <v>2506</v>
      </c>
      <c r="J5" s="115" t="s">
        <v>2506</v>
      </c>
      <c r="L5" s="115" t="s">
        <v>2506</v>
      </c>
      <c r="N5" s="115" t="s">
        <v>2506</v>
      </c>
      <c r="O5" s="197"/>
      <c r="P5" s="115" t="s">
        <v>1384</v>
      </c>
      <c r="Q5" s="200"/>
      <c r="R5" s="115" t="s">
        <v>1384</v>
      </c>
      <c r="S5" s="200"/>
      <c r="T5" s="115" t="s">
        <v>1384</v>
      </c>
      <c r="U5" s="197"/>
    </row>
    <row r="6" spans="1:21" ht="13.9" x14ac:dyDescent="0.4">
      <c r="B6" s="133" t="s">
        <v>2817</v>
      </c>
      <c r="C6" s="114"/>
      <c r="D6" s="114"/>
      <c r="E6" s="114"/>
      <c r="F6" s="152"/>
      <c r="G6" s="114"/>
      <c r="H6" s="114"/>
      <c r="I6" s="114"/>
      <c r="J6" s="114"/>
      <c r="K6" s="114"/>
      <c r="L6" s="114"/>
      <c r="M6" s="114"/>
      <c r="N6" s="114"/>
      <c r="O6" s="201"/>
      <c r="P6" s="114"/>
      <c r="Q6" s="201"/>
      <c r="R6" s="114"/>
      <c r="S6" s="201"/>
      <c r="T6" s="114"/>
      <c r="U6" s="197"/>
    </row>
    <row r="7" spans="1:21" ht="13.9" x14ac:dyDescent="0.4">
      <c r="A7" s="100">
        <v>1020</v>
      </c>
      <c r="B7" s="202" t="s">
        <v>2830</v>
      </c>
      <c r="C7" s="114"/>
      <c r="D7" s="80">
        <v>193866</v>
      </c>
      <c r="E7" s="114"/>
      <c r="F7" s="80">
        <v>192660.46000000002</v>
      </c>
      <c r="G7" s="114"/>
      <c r="H7" s="80">
        <v>200468</v>
      </c>
      <c r="I7" s="114"/>
      <c r="J7" s="80">
        <v>222644</v>
      </c>
      <c r="K7" s="114"/>
      <c r="L7" s="80">
        <v>232578</v>
      </c>
      <c r="M7" s="114"/>
      <c r="N7" s="80">
        <v>239597</v>
      </c>
      <c r="O7" s="203"/>
      <c r="P7" s="80">
        <v>248055</v>
      </c>
      <c r="Q7" s="204"/>
      <c r="R7" s="80">
        <v>257803</v>
      </c>
      <c r="S7" s="204"/>
      <c r="T7" s="80">
        <v>191499</v>
      </c>
      <c r="U7" s="204"/>
    </row>
    <row r="8" spans="1:21" ht="13.9" x14ac:dyDescent="0.4">
      <c r="A8" s="100">
        <v>1021</v>
      </c>
      <c r="B8" s="202" t="s">
        <v>2831</v>
      </c>
      <c r="C8" s="114"/>
      <c r="D8" s="80">
        <v>0</v>
      </c>
      <c r="E8" s="114"/>
      <c r="F8" s="80">
        <v>0</v>
      </c>
      <c r="G8" s="114"/>
      <c r="H8" s="80">
        <v>0</v>
      </c>
      <c r="I8" s="114"/>
      <c r="J8" s="80">
        <v>119</v>
      </c>
      <c r="K8" s="114"/>
      <c r="L8" s="80">
        <v>48</v>
      </c>
      <c r="M8" s="114"/>
      <c r="N8" s="80">
        <v>1000</v>
      </c>
      <c r="O8" s="203"/>
      <c r="P8" s="80">
        <v>1000</v>
      </c>
      <c r="Q8" s="204"/>
      <c r="R8" s="80">
        <v>1000</v>
      </c>
      <c r="S8" s="204"/>
      <c r="T8" s="80">
        <v>500</v>
      </c>
      <c r="U8" s="204"/>
    </row>
    <row r="9" spans="1:21" ht="13.9" x14ac:dyDescent="0.4">
      <c r="A9" s="100">
        <v>1025</v>
      </c>
      <c r="B9" s="202" t="s">
        <v>2832</v>
      </c>
      <c r="C9" s="114"/>
      <c r="D9" s="80">
        <v>0</v>
      </c>
      <c r="E9" s="114"/>
      <c r="F9" s="80">
        <v>0</v>
      </c>
      <c r="G9" s="114"/>
      <c r="H9" s="156">
        <v>0</v>
      </c>
      <c r="I9" s="114"/>
      <c r="J9" s="156">
        <v>0</v>
      </c>
      <c r="K9" s="114"/>
      <c r="L9" s="156">
        <v>0</v>
      </c>
      <c r="M9" s="114"/>
      <c r="N9" s="156">
        <v>150</v>
      </c>
      <c r="O9" s="203"/>
      <c r="P9" s="80">
        <v>100</v>
      </c>
      <c r="Q9" s="205"/>
      <c r="R9" s="80">
        <v>1900</v>
      </c>
      <c r="S9" s="205"/>
      <c r="T9" s="80">
        <v>1500</v>
      </c>
      <c r="U9" s="204"/>
    </row>
    <row r="10" spans="1:21" ht="13.9" x14ac:dyDescent="0.4">
      <c r="A10" s="100">
        <v>2005</v>
      </c>
      <c r="B10" s="202" t="s">
        <v>2175</v>
      </c>
      <c r="C10" s="114"/>
      <c r="D10" s="80">
        <v>32714</v>
      </c>
      <c r="E10" s="114"/>
      <c r="F10" s="80">
        <v>26161.15</v>
      </c>
      <c r="G10" s="114"/>
      <c r="H10" s="80">
        <v>21650</v>
      </c>
      <c r="I10" s="114"/>
      <c r="J10" s="80">
        <v>29835</v>
      </c>
      <c r="K10" s="114"/>
      <c r="L10" s="80">
        <v>24162</v>
      </c>
      <c r="M10" s="114"/>
      <c r="N10" s="80">
        <v>37408</v>
      </c>
      <c r="O10" s="203"/>
      <c r="P10" s="80">
        <v>42660</v>
      </c>
      <c r="Q10" s="204"/>
      <c r="R10" s="80">
        <v>46075</v>
      </c>
      <c r="S10" s="204"/>
      <c r="T10" s="80">
        <v>46075</v>
      </c>
      <c r="U10" s="204"/>
    </row>
    <row r="11" spans="1:21" ht="13.9" x14ac:dyDescent="0.4">
      <c r="A11" s="100">
        <v>2030</v>
      </c>
      <c r="B11" s="202" t="s">
        <v>1050</v>
      </c>
      <c r="C11" s="114"/>
      <c r="D11" s="80">
        <v>97419</v>
      </c>
      <c r="E11" s="114"/>
      <c r="F11" s="80">
        <v>113615.8</v>
      </c>
      <c r="G11" s="114"/>
      <c r="H11" s="156">
        <v>107787</v>
      </c>
      <c r="I11" s="114"/>
      <c r="J11" s="156">
        <v>104220</v>
      </c>
      <c r="K11" s="114"/>
      <c r="L11" s="156">
        <v>128210</v>
      </c>
      <c r="M11" s="114"/>
      <c r="N11" s="156">
        <v>105140</v>
      </c>
      <c r="O11" s="203"/>
      <c r="P11" s="80">
        <v>166425</v>
      </c>
      <c r="Q11" s="205"/>
      <c r="R11" s="80">
        <v>167212</v>
      </c>
      <c r="S11" s="205"/>
      <c r="T11" s="80">
        <v>79000</v>
      </c>
      <c r="U11" s="204"/>
    </row>
    <row r="12" spans="1:21" ht="13.9" x14ac:dyDescent="0.4">
      <c r="A12" s="100">
        <v>6401</v>
      </c>
      <c r="B12" s="83" t="s">
        <v>2833</v>
      </c>
      <c r="C12" s="114"/>
      <c r="D12" s="80">
        <v>159980</v>
      </c>
      <c r="E12" s="114"/>
      <c r="F12" s="80">
        <v>138771.92000000001</v>
      </c>
      <c r="G12" s="114"/>
      <c r="H12" s="156">
        <v>201201</v>
      </c>
      <c r="I12" s="114"/>
      <c r="J12" s="156">
        <v>214158</v>
      </c>
      <c r="K12" s="114"/>
      <c r="L12" s="156">
        <v>215719</v>
      </c>
      <c r="M12" s="114"/>
      <c r="N12" s="156">
        <v>201102</v>
      </c>
      <c r="O12" s="203"/>
      <c r="P12" s="80">
        <v>224505</v>
      </c>
      <c r="Q12" s="205"/>
      <c r="R12" s="80">
        <v>224505</v>
      </c>
      <c r="S12" s="205"/>
      <c r="T12" s="80">
        <v>231505</v>
      </c>
      <c r="U12" s="204"/>
    </row>
    <row r="13" spans="1:21" ht="13.9" x14ac:dyDescent="0.4">
      <c r="B13" s="133" t="s">
        <v>1382</v>
      </c>
      <c r="C13" s="114"/>
      <c r="D13" s="206">
        <f>SUM(D7:D12)</f>
        <v>483979</v>
      </c>
      <c r="E13" s="114"/>
      <c r="F13" s="206">
        <f>SUM(F7:F12)</f>
        <v>471209.33000000007</v>
      </c>
      <c r="G13" s="114"/>
      <c r="H13" s="206">
        <f>SUM(H7:H12)</f>
        <v>531106</v>
      </c>
      <c r="I13" s="114"/>
      <c r="J13" s="206">
        <f>SUM(J7:J12)</f>
        <v>570976</v>
      </c>
      <c r="K13" s="114"/>
      <c r="L13" s="206">
        <f>SUM(L7:L12)</f>
        <v>600717</v>
      </c>
      <c r="M13" s="114"/>
      <c r="N13" s="206">
        <f>SUM(N7:N12)</f>
        <v>584397</v>
      </c>
      <c r="O13" s="203"/>
      <c r="P13" s="206">
        <f>SUM(P7:P12)</f>
        <v>682745</v>
      </c>
      <c r="Q13" s="207"/>
      <c r="R13" s="206">
        <f>SUM(R7:R12)</f>
        <v>698495</v>
      </c>
      <c r="S13" s="207"/>
      <c r="T13" s="206">
        <f>SUM(T7:T12)</f>
        <v>550079</v>
      </c>
      <c r="U13" s="201"/>
    </row>
    <row r="14" spans="1:21" ht="13.9" x14ac:dyDescent="0.4">
      <c r="B14" s="133"/>
      <c r="C14" s="114"/>
      <c r="E14" s="114"/>
      <c r="G14" s="114"/>
      <c r="H14" s="152"/>
      <c r="I14" s="114"/>
      <c r="J14" s="152"/>
      <c r="K14" s="114"/>
      <c r="L14" s="152"/>
      <c r="M14" s="114"/>
      <c r="N14" s="152"/>
      <c r="O14" s="201"/>
      <c r="P14" s="152"/>
      <c r="Q14" s="208"/>
      <c r="R14" s="152"/>
      <c r="S14" s="208"/>
      <c r="T14" s="152"/>
      <c r="U14" s="197"/>
    </row>
    <row r="15" spans="1:21" ht="13.9" x14ac:dyDescent="0.4">
      <c r="B15" s="88" t="s">
        <v>2815</v>
      </c>
      <c r="C15" s="114"/>
      <c r="E15" s="114"/>
      <c r="G15" s="114"/>
      <c r="H15" s="152"/>
      <c r="I15" s="114"/>
      <c r="J15" s="152"/>
      <c r="K15" s="114"/>
      <c r="L15" s="152"/>
      <c r="M15" s="114"/>
      <c r="N15" s="152"/>
      <c r="O15" s="201"/>
      <c r="P15" s="152"/>
      <c r="Q15" s="208"/>
      <c r="R15" s="152"/>
      <c r="S15" s="208"/>
      <c r="T15" s="152"/>
      <c r="U15" s="197"/>
    </row>
    <row r="16" spans="1:21" ht="13.9" x14ac:dyDescent="0.4">
      <c r="A16" s="100">
        <v>2010</v>
      </c>
      <c r="B16" s="79" t="s">
        <v>1049</v>
      </c>
      <c r="C16" s="114"/>
      <c r="D16" s="95">
        <v>6000</v>
      </c>
      <c r="E16" s="114"/>
      <c r="F16" s="95">
        <v>6000</v>
      </c>
      <c r="G16" s="114"/>
      <c r="H16" s="95">
        <v>0</v>
      </c>
      <c r="I16" s="114"/>
      <c r="J16" s="95">
        <v>0</v>
      </c>
      <c r="K16" s="114"/>
      <c r="L16" s="95">
        <v>0</v>
      </c>
      <c r="M16" s="114"/>
      <c r="N16" s="95">
        <v>0</v>
      </c>
      <c r="O16" s="201"/>
      <c r="P16" s="95">
        <v>0</v>
      </c>
      <c r="Q16" s="209"/>
      <c r="R16" s="95">
        <v>0</v>
      </c>
      <c r="S16" s="209"/>
      <c r="T16" s="95">
        <v>0</v>
      </c>
      <c r="U16" s="209"/>
    </row>
    <row r="17" spans="1:21" ht="13.9" x14ac:dyDescent="0.4">
      <c r="A17" s="100">
        <v>2060</v>
      </c>
      <c r="B17" s="79" t="s">
        <v>2834</v>
      </c>
      <c r="C17" s="114"/>
      <c r="D17" s="95">
        <v>7000</v>
      </c>
      <c r="E17" s="114"/>
      <c r="F17" s="95">
        <v>6000</v>
      </c>
      <c r="G17" s="114"/>
      <c r="H17" s="95">
        <v>6000</v>
      </c>
      <c r="I17" s="114"/>
      <c r="J17" s="95">
        <v>6000</v>
      </c>
      <c r="K17" s="114"/>
      <c r="L17" s="95">
        <v>6000</v>
      </c>
      <c r="M17" s="114"/>
      <c r="N17" s="95">
        <v>6000</v>
      </c>
      <c r="O17" s="201"/>
      <c r="P17" s="95">
        <v>6000</v>
      </c>
      <c r="Q17" s="209"/>
      <c r="R17" s="95">
        <v>6000</v>
      </c>
      <c r="S17" s="209"/>
      <c r="T17" s="95">
        <v>4000</v>
      </c>
      <c r="U17" s="209"/>
    </row>
    <row r="18" spans="1:21" ht="13.9" x14ac:dyDescent="0.4">
      <c r="A18" s="100">
        <v>4010</v>
      </c>
      <c r="B18" s="83" t="s">
        <v>2835</v>
      </c>
      <c r="C18" s="114"/>
      <c r="D18" s="95">
        <v>7828</v>
      </c>
      <c r="E18" s="114"/>
      <c r="F18" s="95">
        <v>32861.919999999998</v>
      </c>
      <c r="G18" s="114"/>
      <c r="H18" s="95">
        <v>4544</v>
      </c>
      <c r="I18" s="114"/>
      <c r="J18" s="95">
        <v>71673</v>
      </c>
      <c r="K18" s="114"/>
      <c r="L18" s="95">
        <v>69078</v>
      </c>
      <c r="M18" s="114"/>
      <c r="N18" s="95">
        <v>76300</v>
      </c>
      <c r="O18" s="201"/>
      <c r="P18" s="95">
        <v>80212</v>
      </c>
      <c r="Q18" s="209"/>
      <c r="R18" s="95">
        <v>101012</v>
      </c>
      <c r="S18" s="209"/>
      <c r="T18" s="95">
        <v>100512</v>
      </c>
      <c r="U18" s="209"/>
    </row>
    <row r="19" spans="1:21" ht="13.9" x14ac:dyDescent="0.4">
      <c r="A19" s="100">
        <v>4015</v>
      </c>
      <c r="B19" s="83" t="s">
        <v>1077</v>
      </c>
      <c r="C19" s="114"/>
      <c r="D19" s="95">
        <v>807</v>
      </c>
      <c r="E19" s="114"/>
      <c r="F19" s="95">
        <v>1948.79</v>
      </c>
      <c r="G19" s="114"/>
      <c r="H19" s="95">
        <v>0</v>
      </c>
      <c r="I19" s="114"/>
      <c r="J19" s="95">
        <v>0</v>
      </c>
      <c r="K19" s="114"/>
      <c r="L19" s="95">
        <v>2150</v>
      </c>
      <c r="M19" s="114"/>
      <c r="N19" s="95">
        <v>1650</v>
      </c>
      <c r="O19" s="201"/>
      <c r="P19" s="95">
        <v>2000</v>
      </c>
      <c r="Q19" s="209"/>
      <c r="R19" s="95">
        <v>2000</v>
      </c>
      <c r="S19" s="209"/>
      <c r="T19" s="95">
        <v>0</v>
      </c>
      <c r="U19" s="209"/>
    </row>
    <row r="20" spans="1:21" ht="13.9" x14ac:dyDescent="0.4">
      <c r="A20" s="100">
        <v>4020</v>
      </c>
      <c r="B20" s="79" t="s">
        <v>2836</v>
      </c>
      <c r="C20" s="114"/>
      <c r="D20" s="95">
        <v>0</v>
      </c>
      <c r="E20" s="114"/>
      <c r="F20" s="95">
        <v>40</v>
      </c>
      <c r="G20" s="114"/>
      <c r="H20" s="95">
        <v>398</v>
      </c>
      <c r="I20" s="114"/>
      <c r="J20" s="95">
        <v>0</v>
      </c>
      <c r="K20" s="114"/>
      <c r="L20" s="95">
        <v>198</v>
      </c>
      <c r="M20" s="114"/>
      <c r="N20" s="95">
        <v>366</v>
      </c>
      <c r="O20" s="201"/>
      <c r="P20" s="95">
        <v>900</v>
      </c>
      <c r="Q20" s="209"/>
      <c r="R20" s="95">
        <v>900</v>
      </c>
      <c r="S20" s="209"/>
      <c r="T20" s="95">
        <v>900</v>
      </c>
      <c r="U20" s="209"/>
    </row>
    <row r="21" spans="1:21" ht="13.9" x14ac:dyDescent="0.4">
      <c r="A21" s="100">
        <v>4021</v>
      </c>
      <c r="B21" s="83" t="s">
        <v>2837</v>
      </c>
      <c r="C21" s="114"/>
      <c r="D21" s="95">
        <v>5000</v>
      </c>
      <c r="E21" s="114"/>
      <c r="F21" s="95">
        <v>5000</v>
      </c>
      <c r="G21" s="114"/>
      <c r="H21" s="95">
        <v>5000</v>
      </c>
      <c r="I21" s="114"/>
      <c r="J21" s="95">
        <v>5000</v>
      </c>
      <c r="K21" s="114"/>
      <c r="L21" s="95">
        <v>5000</v>
      </c>
      <c r="M21" s="114"/>
      <c r="N21" s="95">
        <v>5000</v>
      </c>
      <c r="O21" s="201"/>
      <c r="P21" s="95">
        <v>5000</v>
      </c>
      <c r="Q21" s="209"/>
      <c r="R21" s="95">
        <v>5000</v>
      </c>
      <c r="S21" s="209"/>
      <c r="T21" s="95">
        <v>5000</v>
      </c>
      <c r="U21" s="209"/>
    </row>
    <row r="22" spans="1:21" ht="13.9" x14ac:dyDescent="0.4">
      <c r="A22" s="100">
        <v>4022</v>
      </c>
      <c r="B22" s="83" t="s">
        <v>1089</v>
      </c>
      <c r="C22" s="114"/>
      <c r="D22" s="95">
        <v>5000</v>
      </c>
      <c r="E22" s="114"/>
      <c r="F22" s="95">
        <v>5000</v>
      </c>
      <c r="G22" s="114"/>
      <c r="H22" s="95">
        <v>5000</v>
      </c>
      <c r="I22" s="114"/>
      <c r="J22" s="95">
        <v>5000</v>
      </c>
      <c r="K22" s="114"/>
      <c r="L22" s="95">
        <v>5000</v>
      </c>
      <c r="M22" s="114"/>
      <c r="N22" s="95">
        <v>5000</v>
      </c>
      <c r="O22" s="201"/>
      <c r="P22" s="95">
        <v>5000</v>
      </c>
      <c r="Q22" s="209"/>
      <c r="R22" s="95">
        <v>5000</v>
      </c>
      <c r="S22" s="209"/>
      <c r="T22" s="95">
        <v>5000</v>
      </c>
      <c r="U22" s="209"/>
    </row>
    <row r="23" spans="1:21" ht="13.9" x14ac:dyDescent="0.4">
      <c r="A23" s="100">
        <v>4025</v>
      </c>
      <c r="B23" s="79" t="s">
        <v>2838</v>
      </c>
      <c r="C23" s="114"/>
      <c r="D23" s="95">
        <v>575</v>
      </c>
      <c r="E23" s="114"/>
      <c r="F23" s="95">
        <v>220</v>
      </c>
      <c r="G23" s="114"/>
      <c r="H23" s="95">
        <v>0</v>
      </c>
      <c r="I23" s="114"/>
      <c r="J23" s="95">
        <v>0</v>
      </c>
      <c r="K23" s="114"/>
      <c r="L23" s="95">
        <v>0</v>
      </c>
      <c r="M23" s="114"/>
      <c r="N23" s="95">
        <v>0</v>
      </c>
      <c r="O23" s="201"/>
      <c r="P23" s="95">
        <v>0</v>
      </c>
      <c r="Q23" s="209"/>
      <c r="R23" s="95">
        <v>0</v>
      </c>
      <c r="S23" s="209"/>
      <c r="T23" s="95">
        <v>0</v>
      </c>
      <c r="U23" s="209"/>
    </row>
    <row r="24" spans="1:21" ht="13.9" x14ac:dyDescent="0.4">
      <c r="A24" s="100">
        <v>4030</v>
      </c>
      <c r="B24" s="83" t="s">
        <v>1079</v>
      </c>
      <c r="C24" s="114"/>
      <c r="D24" s="95">
        <v>36990</v>
      </c>
      <c r="E24" s="114"/>
      <c r="F24" s="95">
        <f>22268.53</f>
        <v>22268.53</v>
      </c>
      <c r="G24" s="114"/>
      <c r="H24" s="95">
        <v>28070</v>
      </c>
      <c r="I24" s="114"/>
      <c r="J24" s="95">
        <v>43681</v>
      </c>
      <c r="K24" s="114"/>
      <c r="L24" s="95">
        <v>40299</v>
      </c>
      <c r="M24" s="114"/>
      <c r="N24" s="95">
        <v>34524</v>
      </c>
      <c r="O24" s="201"/>
      <c r="P24" s="95">
        <v>25000</v>
      </c>
      <c r="Q24" s="209"/>
      <c r="R24" s="95">
        <v>35000</v>
      </c>
      <c r="S24" s="209"/>
      <c r="T24" s="95">
        <v>35000</v>
      </c>
      <c r="U24" s="209"/>
    </row>
    <row r="25" spans="1:21" ht="13.9" x14ac:dyDescent="0.4">
      <c r="A25" s="100" t="s">
        <v>2839</v>
      </c>
      <c r="B25" s="83" t="s">
        <v>2840</v>
      </c>
      <c r="C25" s="114"/>
      <c r="D25" s="95">
        <v>0</v>
      </c>
      <c r="E25" s="114"/>
      <c r="F25" s="95">
        <v>0</v>
      </c>
      <c r="G25" s="114"/>
      <c r="H25" s="95">
        <v>0</v>
      </c>
      <c r="I25" s="114"/>
      <c r="J25" s="95">
        <v>0</v>
      </c>
      <c r="K25" s="114"/>
      <c r="L25" s="95">
        <v>0</v>
      </c>
      <c r="M25" s="114"/>
      <c r="N25" s="95">
        <v>0</v>
      </c>
      <c r="O25" s="201"/>
      <c r="P25" s="95">
        <v>0</v>
      </c>
      <c r="Q25" s="209"/>
      <c r="R25" s="95">
        <v>0</v>
      </c>
      <c r="S25" s="209"/>
      <c r="T25" s="95">
        <v>1000</v>
      </c>
      <c r="U25" s="209"/>
    </row>
    <row r="26" spans="1:21" ht="13.9" x14ac:dyDescent="0.4">
      <c r="A26" s="100">
        <v>4035</v>
      </c>
      <c r="B26" s="83" t="s">
        <v>2841</v>
      </c>
      <c r="C26" s="114"/>
      <c r="D26" s="95">
        <v>5</v>
      </c>
      <c r="E26" s="114"/>
      <c r="F26" s="95">
        <v>121</v>
      </c>
      <c r="G26" s="114"/>
      <c r="H26" s="95">
        <v>989</v>
      </c>
      <c r="I26" s="114"/>
      <c r="J26" s="95">
        <v>2937</v>
      </c>
      <c r="K26" s="114"/>
      <c r="L26" s="95">
        <v>1553</v>
      </c>
      <c r="M26" s="114"/>
      <c r="N26" s="95">
        <v>7393</v>
      </c>
      <c r="O26" s="201"/>
      <c r="P26" s="95">
        <v>6700</v>
      </c>
      <c r="Q26" s="209"/>
      <c r="R26" s="95">
        <v>19000</v>
      </c>
      <c r="S26" s="209"/>
      <c r="T26" s="95">
        <v>19000</v>
      </c>
      <c r="U26" s="209"/>
    </row>
    <row r="27" spans="1:21" ht="13.9" x14ac:dyDescent="0.4">
      <c r="A27" s="100">
        <v>4038</v>
      </c>
      <c r="B27" s="83" t="s">
        <v>2842</v>
      </c>
      <c r="C27" s="114"/>
      <c r="D27" s="95">
        <v>0</v>
      </c>
      <c r="E27" s="114"/>
      <c r="F27" s="95">
        <v>0</v>
      </c>
      <c r="G27" s="114"/>
      <c r="H27" s="95">
        <v>0</v>
      </c>
      <c r="I27" s="114"/>
      <c r="J27" s="95">
        <v>0</v>
      </c>
      <c r="K27" s="114"/>
      <c r="L27" s="95">
        <v>0</v>
      </c>
      <c r="M27" s="114"/>
      <c r="N27" s="95">
        <v>0</v>
      </c>
      <c r="O27" s="201"/>
      <c r="P27" s="95">
        <v>0</v>
      </c>
      <c r="Q27" s="209"/>
      <c r="R27" s="95">
        <v>4000</v>
      </c>
      <c r="S27" s="209"/>
      <c r="T27" s="95">
        <v>4000</v>
      </c>
      <c r="U27" s="209"/>
    </row>
    <row r="28" spans="1:21" ht="13.9" x14ac:dyDescent="0.4">
      <c r="A28" s="100">
        <v>4039</v>
      </c>
      <c r="B28" s="83" t="s">
        <v>2843</v>
      </c>
      <c r="C28" s="114"/>
      <c r="D28" s="95">
        <v>0</v>
      </c>
      <c r="E28" s="114"/>
      <c r="F28" s="95">
        <v>0</v>
      </c>
      <c r="G28" s="114"/>
      <c r="H28" s="95">
        <v>0</v>
      </c>
      <c r="I28" s="114"/>
      <c r="J28" s="95">
        <v>0</v>
      </c>
      <c r="K28" s="114"/>
      <c r="L28" s="95">
        <v>0</v>
      </c>
      <c r="M28" s="114"/>
      <c r="N28" s="95">
        <v>0</v>
      </c>
      <c r="O28" s="201"/>
      <c r="P28" s="95">
        <v>0</v>
      </c>
      <c r="Q28" s="209"/>
      <c r="R28" s="95">
        <v>5000</v>
      </c>
      <c r="S28" s="209"/>
      <c r="T28" s="95">
        <v>5000</v>
      </c>
      <c r="U28" s="209"/>
    </row>
    <row r="29" spans="1:21" ht="13.9" x14ac:dyDescent="0.4">
      <c r="A29" s="100">
        <v>4040</v>
      </c>
      <c r="B29" s="83" t="s">
        <v>2844</v>
      </c>
      <c r="C29" s="114"/>
      <c r="D29" s="95">
        <v>0</v>
      </c>
      <c r="E29" s="114"/>
      <c r="F29" s="95">
        <v>0</v>
      </c>
      <c r="G29" s="114"/>
      <c r="H29" s="95">
        <v>0</v>
      </c>
      <c r="I29" s="114"/>
      <c r="J29" s="95">
        <v>0</v>
      </c>
      <c r="K29" s="114"/>
      <c r="L29" s="95">
        <v>0</v>
      </c>
      <c r="M29" s="114"/>
      <c r="N29" s="95">
        <v>0</v>
      </c>
      <c r="O29" s="201"/>
      <c r="P29" s="95">
        <v>0</v>
      </c>
      <c r="Q29" s="209"/>
      <c r="R29" s="95">
        <v>1000</v>
      </c>
      <c r="S29" s="209"/>
      <c r="T29" s="95">
        <v>0</v>
      </c>
      <c r="U29" s="209"/>
    </row>
    <row r="30" spans="1:21" ht="13.9" x14ac:dyDescent="0.4">
      <c r="A30" s="100">
        <v>4050</v>
      </c>
      <c r="B30" s="83" t="s">
        <v>1090</v>
      </c>
      <c r="C30" s="114"/>
      <c r="D30" s="95">
        <v>10000</v>
      </c>
      <c r="E30" s="114"/>
      <c r="F30" s="95">
        <v>0</v>
      </c>
      <c r="G30" s="114"/>
      <c r="H30" s="95">
        <v>0</v>
      </c>
      <c r="I30" s="114"/>
      <c r="J30" s="95">
        <v>0</v>
      </c>
      <c r="K30" s="114"/>
      <c r="L30" s="95">
        <v>0</v>
      </c>
      <c r="M30" s="114"/>
      <c r="N30" s="95">
        <v>0</v>
      </c>
      <c r="O30" s="201"/>
      <c r="P30" s="95">
        <v>0</v>
      </c>
      <c r="Q30" s="209"/>
      <c r="R30" s="95">
        <v>0</v>
      </c>
      <c r="S30" s="209"/>
      <c r="T30" s="95">
        <v>0</v>
      </c>
      <c r="U30" s="209"/>
    </row>
    <row r="31" spans="1:21" ht="13.9" x14ac:dyDescent="0.4">
      <c r="A31" s="100">
        <v>4052</v>
      </c>
      <c r="B31" s="83" t="s">
        <v>2845</v>
      </c>
      <c r="C31" s="114"/>
      <c r="D31" s="95">
        <v>2000</v>
      </c>
      <c r="E31" s="114"/>
      <c r="F31" s="95">
        <v>0</v>
      </c>
      <c r="G31" s="114"/>
      <c r="H31" s="95">
        <v>2000</v>
      </c>
      <c r="I31" s="114"/>
      <c r="J31" s="95">
        <v>2500</v>
      </c>
      <c r="K31" s="114"/>
      <c r="L31" s="95">
        <v>4000</v>
      </c>
      <c r="M31" s="114"/>
      <c r="N31" s="95">
        <v>4000</v>
      </c>
      <c r="O31" s="201"/>
      <c r="P31" s="95">
        <v>4000</v>
      </c>
      <c r="Q31" s="209"/>
      <c r="R31" s="95">
        <v>7500</v>
      </c>
      <c r="S31" s="209"/>
      <c r="T31" s="95">
        <v>4000</v>
      </c>
      <c r="U31" s="209"/>
    </row>
    <row r="32" spans="1:21" ht="13.9" x14ac:dyDescent="0.4">
      <c r="A32" s="100">
        <v>4053</v>
      </c>
      <c r="B32" s="83" t="s">
        <v>2846</v>
      </c>
      <c r="C32" s="114"/>
      <c r="D32" s="95">
        <v>500</v>
      </c>
      <c r="E32" s="114"/>
      <c r="F32" s="95">
        <v>2000</v>
      </c>
      <c r="G32" s="114"/>
      <c r="H32" s="95">
        <v>500</v>
      </c>
      <c r="I32" s="114"/>
      <c r="J32" s="95">
        <v>500</v>
      </c>
      <c r="K32" s="114"/>
      <c r="L32" s="95">
        <v>500</v>
      </c>
      <c r="M32" s="114"/>
      <c r="N32" s="95">
        <v>500</v>
      </c>
      <c r="O32" s="201"/>
      <c r="P32" s="95">
        <v>500</v>
      </c>
      <c r="Q32" s="209"/>
      <c r="R32" s="95">
        <v>500</v>
      </c>
      <c r="S32" s="209"/>
      <c r="T32" s="95">
        <v>500</v>
      </c>
      <c r="U32" s="209"/>
    </row>
    <row r="33" spans="1:21" ht="13.9" x14ac:dyDescent="0.4">
      <c r="A33" s="100">
        <v>4030</v>
      </c>
      <c r="B33" s="83" t="s">
        <v>2847</v>
      </c>
      <c r="C33" s="114"/>
      <c r="D33" s="95">
        <v>-10200</v>
      </c>
      <c r="E33" s="114"/>
      <c r="F33" s="95">
        <v>-9760</v>
      </c>
      <c r="G33" s="114"/>
      <c r="H33" s="95">
        <v>-12465</v>
      </c>
      <c r="I33" s="114"/>
      <c r="J33" s="95">
        <v>-12680</v>
      </c>
      <c r="K33" s="114"/>
      <c r="L33" s="95">
        <v>-10526</v>
      </c>
      <c r="M33" s="114"/>
      <c r="N33" s="95">
        <v>-9297</v>
      </c>
      <c r="O33" s="201"/>
      <c r="P33" s="95">
        <v>-10000</v>
      </c>
      <c r="Q33" s="209"/>
      <c r="R33" s="95">
        <v>-10000</v>
      </c>
      <c r="S33" s="209"/>
      <c r="T33" s="95">
        <v>-10000</v>
      </c>
      <c r="U33" s="209"/>
    </row>
    <row r="34" spans="1:21" ht="13.9" x14ac:dyDescent="0.4">
      <c r="A34" s="100"/>
      <c r="B34" s="82" t="s">
        <v>1382</v>
      </c>
      <c r="C34" s="114"/>
      <c r="D34" s="210">
        <f>SUM(D16:D33)</f>
        <v>71505</v>
      </c>
      <c r="E34" s="114"/>
      <c r="F34" s="210">
        <f>SUM(F16:F33)</f>
        <v>71700.239999999991</v>
      </c>
      <c r="G34" s="114"/>
      <c r="H34" s="210">
        <f>SUM(H16:H33)</f>
        <v>40036</v>
      </c>
      <c r="I34" s="114"/>
      <c r="J34" s="210">
        <f>SUM(J16:J33)</f>
        <v>124611</v>
      </c>
      <c r="K34" s="114"/>
      <c r="L34" s="210">
        <f>SUM(L16:L33)</f>
        <v>123252</v>
      </c>
      <c r="M34" s="114"/>
      <c r="N34" s="210">
        <f>SUM(N16:N33)</f>
        <v>131436</v>
      </c>
      <c r="O34" s="201"/>
      <c r="P34" s="210">
        <f>SUM(P16:P33)</f>
        <v>125312</v>
      </c>
      <c r="Q34" s="211"/>
      <c r="R34" s="210">
        <f>SUM(R16:R33)</f>
        <v>181912</v>
      </c>
      <c r="S34" s="211"/>
      <c r="T34" s="210">
        <f>SUM(T16:T33)</f>
        <v>173912</v>
      </c>
      <c r="U34" s="211"/>
    </row>
    <row r="35" spans="1:21" ht="13.9" x14ac:dyDescent="0.4">
      <c r="A35" s="100"/>
      <c r="B35" s="83"/>
      <c r="C35" s="114"/>
      <c r="E35" s="114"/>
      <c r="G35" s="114"/>
      <c r="I35" s="114"/>
      <c r="K35" s="114"/>
      <c r="M35" s="114"/>
      <c r="O35" s="201"/>
      <c r="Q35" s="197"/>
      <c r="S35" s="197"/>
      <c r="U35" s="197"/>
    </row>
    <row r="36" spans="1:21" ht="13.9" x14ac:dyDescent="0.4">
      <c r="B36" s="133" t="s">
        <v>2814</v>
      </c>
      <c r="C36" s="114"/>
      <c r="E36" s="114"/>
      <c r="G36" s="114"/>
      <c r="H36" s="152"/>
      <c r="I36" s="114"/>
      <c r="J36" s="152"/>
      <c r="K36" s="114"/>
      <c r="L36" s="152"/>
      <c r="M36" s="114"/>
      <c r="N36" s="152"/>
      <c r="O36" s="201"/>
      <c r="P36" s="152"/>
      <c r="Q36" s="208"/>
      <c r="R36" s="152"/>
      <c r="S36" s="208"/>
      <c r="T36" s="152"/>
      <c r="U36" s="197"/>
    </row>
    <row r="37" spans="1:21" ht="13.9" x14ac:dyDescent="0.4">
      <c r="A37" s="100">
        <v>4033</v>
      </c>
      <c r="B37" s="83" t="s">
        <v>1084</v>
      </c>
      <c r="C37" s="114"/>
      <c r="D37" s="95">
        <v>5930</v>
      </c>
      <c r="E37" s="114"/>
      <c r="F37" s="95">
        <v>2183.34</v>
      </c>
      <c r="G37" s="114"/>
      <c r="H37" s="95">
        <v>5344</v>
      </c>
      <c r="I37" s="114"/>
      <c r="J37" s="95">
        <v>4398</v>
      </c>
      <c r="K37" s="114"/>
      <c r="L37" s="95">
        <v>6585</v>
      </c>
      <c r="M37" s="114"/>
      <c r="N37" s="95">
        <v>7637</v>
      </c>
      <c r="O37" s="201"/>
      <c r="P37" s="95">
        <v>12770</v>
      </c>
      <c r="Q37" s="209"/>
      <c r="R37" s="95">
        <v>13160</v>
      </c>
      <c r="S37" s="209"/>
      <c r="T37" s="95">
        <v>13160</v>
      </c>
      <c r="U37" s="197"/>
    </row>
    <row r="38" spans="1:21" ht="13.9" x14ac:dyDescent="0.4">
      <c r="A38" s="100">
        <v>4034</v>
      </c>
      <c r="B38" s="83" t="s">
        <v>2848</v>
      </c>
      <c r="C38" s="114"/>
      <c r="D38" s="95">
        <v>0</v>
      </c>
      <c r="E38" s="114"/>
      <c r="F38" s="95">
        <v>0</v>
      </c>
      <c r="G38" s="114"/>
      <c r="H38" s="95">
        <v>0</v>
      </c>
      <c r="I38" s="114"/>
      <c r="J38" s="95">
        <v>0</v>
      </c>
      <c r="K38" s="114"/>
      <c r="L38" s="95">
        <v>150</v>
      </c>
      <c r="M38" s="114"/>
      <c r="N38" s="95">
        <v>150</v>
      </c>
      <c r="O38" s="201"/>
      <c r="P38" s="95">
        <v>1500</v>
      </c>
      <c r="Q38" s="209"/>
      <c r="R38" s="95">
        <v>1500</v>
      </c>
      <c r="S38" s="209"/>
      <c r="T38" s="95">
        <v>0</v>
      </c>
      <c r="U38" s="197"/>
    </row>
    <row r="39" spans="1:21" ht="13.9" x14ac:dyDescent="0.4">
      <c r="A39" s="100">
        <v>4036</v>
      </c>
      <c r="B39" s="83" t="s">
        <v>2849</v>
      </c>
      <c r="C39" s="114"/>
      <c r="D39" s="95">
        <v>0</v>
      </c>
      <c r="E39" s="114"/>
      <c r="F39" s="95">
        <v>0</v>
      </c>
      <c r="G39" s="114"/>
      <c r="H39" s="95">
        <v>0</v>
      </c>
      <c r="I39" s="114"/>
      <c r="J39" s="95">
        <v>0</v>
      </c>
      <c r="K39" s="114"/>
      <c r="L39" s="95">
        <v>0</v>
      </c>
      <c r="M39" s="114"/>
      <c r="N39" s="95">
        <v>0</v>
      </c>
      <c r="O39" s="201"/>
      <c r="P39" s="95">
        <v>0</v>
      </c>
      <c r="Q39" s="209"/>
      <c r="R39" s="95">
        <v>2000</v>
      </c>
      <c r="S39" s="209"/>
      <c r="T39" s="95">
        <v>3000</v>
      </c>
      <c r="U39" s="197"/>
    </row>
    <row r="40" spans="1:21" ht="13.9" x14ac:dyDescent="0.4">
      <c r="A40" s="100"/>
      <c r="B40" s="82" t="s">
        <v>1382</v>
      </c>
      <c r="C40" s="114"/>
      <c r="D40" s="210">
        <f>SUM(D37:D39)</f>
        <v>5930</v>
      </c>
      <c r="E40" s="114"/>
      <c r="F40" s="210">
        <f>SUM(F37:F39)</f>
        <v>2183.34</v>
      </c>
      <c r="G40" s="114"/>
      <c r="H40" s="210">
        <f>SUM(H37:H39)</f>
        <v>5344</v>
      </c>
      <c r="I40" s="114"/>
      <c r="J40" s="210">
        <f>SUM(J37:J39)</f>
        <v>4398</v>
      </c>
      <c r="K40" s="114"/>
      <c r="L40" s="210">
        <f>SUM(L37:L39)</f>
        <v>6735</v>
      </c>
      <c r="M40" s="114"/>
      <c r="N40" s="210">
        <f>SUM(N37:N39)</f>
        <v>7787</v>
      </c>
      <c r="O40" s="201"/>
      <c r="P40" s="210">
        <f>SUM(P37:P39)</f>
        <v>14270</v>
      </c>
      <c r="Q40" s="211"/>
      <c r="R40" s="210">
        <f>SUM(R37:R39)</f>
        <v>16660</v>
      </c>
      <c r="S40" s="211"/>
      <c r="T40" s="210">
        <f>SUM(T37:T39)</f>
        <v>16160</v>
      </c>
      <c r="U40" s="197"/>
    </row>
    <row r="41" spans="1:21" x14ac:dyDescent="0.4">
      <c r="B41" s="148"/>
      <c r="C41" s="114"/>
      <c r="E41" s="114"/>
      <c r="G41" s="114"/>
      <c r="H41" s="152"/>
      <c r="I41" s="114"/>
      <c r="J41" s="152"/>
      <c r="K41" s="114"/>
      <c r="L41" s="152"/>
      <c r="M41" s="114"/>
      <c r="N41" s="152"/>
      <c r="O41" s="201"/>
      <c r="P41" s="152"/>
      <c r="Q41" s="208"/>
      <c r="R41" s="152"/>
      <c r="S41" s="208"/>
      <c r="T41" s="152"/>
      <c r="U41" s="197"/>
    </row>
    <row r="42" spans="1:21" ht="13.9" x14ac:dyDescent="0.4">
      <c r="B42" s="88" t="s">
        <v>2816</v>
      </c>
      <c r="C42" s="134"/>
      <c r="E42" s="134"/>
      <c r="G42" s="134"/>
      <c r="H42" s="152"/>
      <c r="I42" s="134"/>
      <c r="J42" s="152"/>
      <c r="K42" s="134"/>
      <c r="L42" s="152"/>
      <c r="M42" s="134"/>
      <c r="N42" s="152"/>
      <c r="O42" s="211"/>
      <c r="P42" s="152"/>
      <c r="Q42" s="208"/>
      <c r="R42" s="152"/>
      <c r="S42" s="208"/>
      <c r="T42" s="152"/>
      <c r="U42" s="197"/>
    </row>
    <row r="43" spans="1:21" ht="13.9" x14ac:dyDescent="0.4">
      <c r="A43" s="100">
        <v>3001</v>
      </c>
      <c r="B43" s="83" t="s">
        <v>2850</v>
      </c>
      <c r="C43" s="114"/>
      <c r="D43" s="136">
        <v>180000</v>
      </c>
      <c r="E43" s="114"/>
      <c r="F43" s="136">
        <v>210000</v>
      </c>
      <c r="G43" s="114"/>
      <c r="H43" s="136">
        <v>210000</v>
      </c>
      <c r="I43" s="114"/>
      <c r="J43" s="136">
        <v>237000</v>
      </c>
      <c r="K43" s="114"/>
      <c r="L43" s="136">
        <v>237000</v>
      </c>
      <c r="M43" s="114"/>
      <c r="N43" s="136">
        <v>237000</v>
      </c>
      <c r="O43" s="201"/>
      <c r="P43" s="136">
        <v>237000</v>
      </c>
      <c r="Q43" s="212"/>
      <c r="R43" s="136">
        <v>237000</v>
      </c>
      <c r="S43" s="212"/>
      <c r="T43" s="136">
        <v>275000</v>
      </c>
      <c r="U43" s="212"/>
    </row>
    <row r="44" spans="1:21" ht="13.5" x14ac:dyDescent="0.35">
      <c r="A44" s="100">
        <v>3005</v>
      </c>
      <c r="B44" s="83" t="s">
        <v>1057</v>
      </c>
      <c r="C44" s="80"/>
      <c r="D44" s="95">
        <v>0</v>
      </c>
      <c r="E44" s="80"/>
      <c r="F44" s="95">
        <v>0</v>
      </c>
      <c r="G44" s="80"/>
      <c r="H44" s="95">
        <v>150</v>
      </c>
      <c r="I44" s="80"/>
      <c r="J44" s="95">
        <v>0</v>
      </c>
      <c r="K44" s="80"/>
      <c r="L44" s="95">
        <v>0</v>
      </c>
      <c r="M44" s="80"/>
      <c r="N44" s="95">
        <v>0</v>
      </c>
      <c r="O44" s="204"/>
      <c r="P44" s="95">
        <v>0</v>
      </c>
      <c r="Q44" s="209"/>
      <c r="R44" s="95">
        <v>500</v>
      </c>
      <c r="S44" s="209"/>
      <c r="T44" s="95">
        <v>0</v>
      </c>
      <c r="U44" s="209"/>
    </row>
    <row r="45" spans="1:21" ht="13.5" x14ac:dyDescent="0.35">
      <c r="A45" s="100">
        <v>3040</v>
      </c>
      <c r="B45" s="79" t="s">
        <v>2851</v>
      </c>
      <c r="C45" s="80"/>
      <c r="D45" s="95">
        <v>441</v>
      </c>
      <c r="E45" s="80"/>
      <c r="F45" s="95">
        <v>6.48</v>
      </c>
      <c r="G45" s="80"/>
      <c r="H45" s="95">
        <v>225</v>
      </c>
      <c r="I45" s="80"/>
      <c r="J45" s="95">
        <v>0</v>
      </c>
      <c r="K45" s="80"/>
      <c r="L45" s="95">
        <v>0</v>
      </c>
      <c r="M45" s="80"/>
      <c r="N45" s="95">
        <v>199</v>
      </c>
      <c r="O45" s="204"/>
      <c r="P45" s="95">
        <v>4500</v>
      </c>
      <c r="Q45" s="209"/>
      <c r="R45" s="95">
        <v>3500</v>
      </c>
      <c r="S45" s="209"/>
      <c r="T45" s="95">
        <v>3500</v>
      </c>
      <c r="U45" s="209"/>
    </row>
    <row r="46" spans="1:21" ht="13.5" x14ac:dyDescent="0.35">
      <c r="A46" s="100">
        <v>3050</v>
      </c>
      <c r="B46" s="79" t="s">
        <v>2852</v>
      </c>
      <c r="C46" s="80"/>
      <c r="D46" s="95">
        <v>0</v>
      </c>
      <c r="E46" s="80"/>
      <c r="F46" s="95">
        <v>385</v>
      </c>
      <c r="G46" s="80"/>
      <c r="H46" s="95">
        <v>5182</v>
      </c>
      <c r="I46" s="80"/>
      <c r="J46" s="95">
        <v>0</v>
      </c>
      <c r="K46" s="80"/>
      <c r="L46" s="95">
        <v>1505</v>
      </c>
      <c r="M46" s="80"/>
      <c r="N46" s="95">
        <v>467</v>
      </c>
      <c r="O46" s="204"/>
      <c r="P46" s="95">
        <v>1500</v>
      </c>
      <c r="Q46" s="209"/>
      <c r="R46" s="95">
        <v>1500</v>
      </c>
      <c r="S46" s="209"/>
      <c r="T46" s="95">
        <v>0</v>
      </c>
      <c r="U46" s="209"/>
    </row>
    <row r="47" spans="1:21" ht="13.5" x14ac:dyDescent="0.35">
      <c r="A47" s="100">
        <v>3060</v>
      </c>
      <c r="B47" s="83" t="s">
        <v>1059</v>
      </c>
      <c r="C47" s="95"/>
      <c r="D47" s="95">
        <v>35848</v>
      </c>
      <c r="E47" s="95"/>
      <c r="F47" s="95">
        <v>37431.61</v>
      </c>
      <c r="G47" s="95"/>
      <c r="H47" s="95">
        <v>38311</v>
      </c>
      <c r="I47" s="95"/>
      <c r="J47" s="95">
        <v>42644</v>
      </c>
      <c r="K47" s="95"/>
      <c r="L47" s="95">
        <v>44523</v>
      </c>
      <c r="M47" s="95"/>
      <c r="N47" s="95">
        <v>85261</v>
      </c>
      <c r="O47" s="209"/>
      <c r="P47" s="95">
        <v>66728</v>
      </c>
      <c r="Q47" s="209"/>
      <c r="R47" s="95">
        <v>94869</v>
      </c>
      <c r="S47" s="209"/>
      <c r="T47" s="95">
        <v>95369</v>
      </c>
      <c r="U47" s="209"/>
    </row>
    <row r="48" spans="1:21" ht="13.5" x14ac:dyDescent="0.35">
      <c r="A48" s="100">
        <v>4037</v>
      </c>
      <c r="B48" s="79" t="s">
        <v>2853</v>
      </c>
      <c r="C48" s="80"/>
      <c r="D48" s="95">
        <v>0</v>
      </c>
      <c r="E48" s="80"/>
      <c r="F48" s="95">
        <v>0</v>
      </c>
      <c r="G48" s="80"/>
      <c r="H48" s="95">
        <v>89</v>
      </c>
      <c r="I48" s="80"/>
      <c r="J48" s="95">
        <v>0</v>
      </c>
      <c r="K48" s="80"/>
      <c r="L48" s="95">
        <v>0</v>
      </c>
      <c r="M48" s="80"/>
      <c r="N48" s="95">
        <v>0</v>
      </c>
      <c r="O48" s="204"/>
      <c r="P48" s="95">
        <v>0</v>
      </c>
      <c r="Q48" s="209"/>
      <c r="R48" s="95">
        <v>5500</v>
      </c>
      <c r="S48" s="209"/>
      <c r="T48" s="95">
        <v>1500</v>
      </c>
      <c r="U48" s="209"/>
    </row>
    <row r="49" spans="1:25" ht="13.5" x14ac:dyDescent="0.35">
      <c r="A49" s="100">
        <v>4041</v>
      </c>
      <c r="B49" s="79" t="s">
        <v>2854</v>
      </c>
      <c r="C49" s="80"/>
      <c r="D49" s="95">
        <v>0</v>
      </c>
      <c r="E49" s="80"/>
      <c r="F49" s="95">
        <v>0</v>
      </c>
      <c r="G49" s="80"/>
      <c r="H49" s="95">
        <v>0</v>
      </c>
      <c r="I49" s="80"/>
      <c r="J49" s="95">
        <v>0</v>
      </c>
      <c r="K49" s="80"/>
      <c r="L49" s="95">
        <v>0</v>
      </c>
      <c r="M49" s="80"/>
      <c r="N49" s="95">
        <v>0</v>
      </c>
      <c r="O49" s="204"/>
      <c r="P49" s="95">
        <v>0</v>
      </c>
      <c r="Q49" s="209"/>
      <c r="R49" s="95">
        <v>1500</v>
      </c>
      <c r="S49" s="209"/>
      <c r="T49" s="95">
        <v>1500</v>
      </c>
      <c r="U49" s="209"/>
    </row>
    <row r="50" spans="1:25" ht="13.5" x14ac:dyDescent="0.35">
      <c r="A50" s="100">
        <v>4042</v>
      </c>
      <c r="B50" s="79" t="s">
        <v>2855</v>
      </c>
      <c r="C50" s="80"/>
      <c r="D50" s="95">
        <v>0</v>
      </c>
      <c r="E50" s="80"/>
      <c r="F50" s="95">
        <v>0</v>
      </c>
      <c r="G50" s="80"/>
      <c r="H50" s="95">
        <v>0</v>
      </c>
      <c r="I50" s="80"/>
      <c r="J50" s="95">
        <v>0</v>
      </c>
      <c r="K50" s="80"/>
      <c r="L50" s="95">
        <v>0</v>
      </c>
      <c r="M50" s="80"/>
      <c r="N50" s="95">
        <v>0</v>
      </c>
      <c r="O50" s="204"/>
      <c r="P50" s="95">
        <v>0</v>
      </c>
      <c r="Q50" s="209"/>
      <c r="R50" s="95">
        <v>1500</v>
      </c>
      <c r="S50" s="209"/>
      <c r="T50" s="95">
        <v>1500</v>
      </c>
      <c r="U50" s="209"/>
    </row>
    <row r="51" spans="1:25" ht="13.5" x14ac:dyDescent="0.35">
      <c r="A51" s="100" t="s">
        <v>2839</v>
      </c>
      <c r="B51" s="79" t="s">
        <v>2856</v>
      </c>
      <c r="C51" s="80"/>
      <c r="D51" s="95">
        <v>0</v>
      </c>
      <c r="E51" s="80"/>
      <c r="F51" s="95">
        <v>0</v>
      </c>
      <c r="G51" s="80"/>
      <c r="H51" s="95">
        <v>0</v>
      </c>
      <c r="I51" s="80"/>
      <c r="J51" s="95">
        <v>0</v>
      </c>
      <c r="K51" s="80"/>
      <c r="L51" s="95">
        <v>0</v>
      </c>
      <c r="M51" s="80"/>
      <c r="N51" s="95">
        <v>0</v>
      </c>
      <c r="O51" s="204"/>
      <c r="P51" s="95">
        <v>0</v>
      </c>
      <c r="Q51" s="209"/>
      <c r="R51" s="95">
        <v>0</v>
      </c>
      <c r="S51" s="209"/>
      <c r="T51" s="95">
        <v>500</v>
      </c>
      <c r="U51" s="209"/>
    </row>
    <row r="52" spans="1:25" ht="13.5" x14ac:dyDescent="0.35">
      <c r="A52" s="100">
        <v>5020</v>
      </c>
      <c r="B52" s="83" t="s">
        <v>1096</v>
      </c>
      <c r="C52" s="95"/>
      <c r="D52" s="95">
        <v>6722</v>
      </c>
      <c r="E52" s="95"/>
      <c r="F52" s="95">
        <v>1795.3000000000002</v>
      </c>
      <c r="G52" s="95"/>
      <c r="H52" s="95">
        <v>3921</v>
      </c>
      <c r="I52" s="95"/>
      <c r="J52" s="95">
        <v>3991</v>
      </c>
      <c r="K52" s="95"/>
      <c r="L52" s="95">
        <v>219</v>
      </c>
      <c r="M52" s="95"/>
      <c r="N52" s="95">
        <v>2820</v>
      </c>
      <c r="O52" s="209"/>
      <c r="P52" s="95">
        <v>6000</v>
      </c>
      <c r="Q52" s="209"/>
      <c r="R52" s="95">
        <v>6000</v>
      </c>
      <c r="S52" s="209"/>
      <c r="T52" s="95">
        <v>6000</v>
      </c>
      <c r="U52" s="209"/>
    </row>
    <row r="53" spans="1:25" ht="13.5" x14ac:dyDescent="0.35">
      <c r="A53" s="100">
        <v>5030</v>
      </c>
      <c r="B53" s="83" t="s">
        <v>2857</v>
      </c>
      <c r="C53" s="95"/>
      <c r="D53" s="95">
        <v>26071</v>
      </c>
      <c r="E53" s="95"/>
      <c r="F53" s="95">
        <v>28179.78</v>
      </c>
      <c r="G53" s="95"/>
      <c r="H53" s="95">
        <v>26730</v>
      </c>
      <c r="I53" s="95"/>
      <c r="J53" s="95">
        <v>25725</v>
      </c>
      <c r="K53" s="95"/>
      <c r="L53" s="95">
        <v>25975</v>
      </c>
      <c r="M53" s="95"/>
      <c r="N53" s="95">
        <v>28156</v>
      </c>
      <c r="O53" s="209"/>
      <c r="P53" s="95">
        <v>28750</v>
      </c>
      <c r="Q53" s="209"/>
      <c r="R53" s="95">
        <v>34750</v>
      </c>
      <c r="S53" s="209"/>
      <c r="T53" s="95">
        <v>34750</v>
      </c>
      <c r="U53" s="209"/>
    </row>
    <row r="54" spans="1:25" ht="13.5" x14ac:dyDescent="0.35">
      <c r="A54" s="100">
        <v>5032</v>
      </c>
      <c r="B54" s="79" t="s">
        <v>2858</v>
      </c>
      <c r="C54" s="95"/>
      <c r="D54" s="95">
        <v>18182</v>
      </c>
      <c r="E54" s="95"/>
      <c r="F54" s="95">
        <v>19946.09</v>
      </c>
      <c r="G54" s="95"/>
      <c r="H54" s="95">
        <v>14759</v>
      </c>
      <c r="I54" s="95"/>
      <c r="J54" s="95">
        <v>12145</v>
      </c>
      <c r="K54" s="95"/>
      <c r="L54" s="95">
        <v>16401</v>
      </c>
      <c r="M54" s="95"/>
      <c r="N54" s="95">
        <v>22548</v>
      </c>
      <c r="O54" s="209"/>
      <c r="P54" s="95">
        <v>16000</v>
      </c>
      <c r="Q54" s="209"/>
      <c r="R54" s="95">
        <v>16000</v>
      </c>
      <c r="S54" s="209"/>
      <c r="T54" s="95">
        <v>20000</v>
      </c>
      <c r="U54" s="209"/>
    </row>
    <row r="55" spans="1:25" ht="13.5" x14ac:dyDescent="0.35">
      <c r="A55" s="100">
        <v>5034</v>
      </c>
      <c r="B55" s="83" t="s">
        <v>2859</v>
      </c>
      <c r="C55" s="95"/>
      <c r="D55" s="95">
        <v>81873</v>
      </c>
      <c r="E55" s="95"/>
      <c r="F55" s="95">
        <v>83451.03</v>
      </c>
      <c r="G55" s="95"/>
      <c r="H55" s="95">
        <v>81006</v>
      </c>
      <c r="I55" s="95"/>
      <c r="J55" s="95">
        <v>95462</v>
      </c>
      <c r="K55" s="95"/>
      <c r="L55" s="95">
        <v>77590</v>
      </c>
      <c r="M55" s="95"/>
      <c r="N55" s="95">
        <v>79986</v>
      </c>
      <c r="O55" s="209"/>
      <c r="P55" s="95">
        <v>91300</v>
      </c>
      <c r="Q55" s="209"/>
      <c r="R55" s="95">
        <v>91300</v>
      </c>
      <c r="S55" s="209"/>
      <c r="T55" s="95">
        <v>91300</v>
      </c>
      <c r="U55" s="209"/>
    </row>
    <row r="56" spans="1:25" ht="13.9" thickBot="1" x14ac:dyDescent="0.4">
      <c r="A56" s="100">
        <v>5034</v>
      </c>
      <c r="B56" s="83" t="s">
        <v>2860</v>
      </c>
      <c r="C56" s="95"/>
      <c r="D56" s="95">
        <v>-116379</v>
      </c>
      <c r="E56" s="95"/>
      <c r="F56" s="95">
        <v>-116797.5</v>
      </c>
      <c r="G56" s="95"/>
      <c r="H56" s="95">
        <v>-102222</v>
      </c>
      <c r="I56" s="95"/>
      <c r="J56" s="95">
        <v>-118159</v>
      </c>
      <c r="K56" s="95"/>
      <c r="L56" s="95">
        <v>-100243</v>
      </c>
      <c r="M56" s="95"/>
      <c r="N56" s="95">
        <v>-83663</v>
      </c>
      <c r="O56" s="209"/>
      <c r="P56" s="95">
        <v>-104312</v>
      </c>
      <c r="Q56" s="209"/>
      <c r="R56" s="95">
        <v>-104312</v>
      </c>
      <c r="S56" s="209"/>
      <c r="T56" s="95">
        <v>-84312</v>
      </c>
      <c r="U56" s="209"/>
    </row>
    <row r="57" spans="1:25" ht="13.5" x14ac:dyDescent="0.35">
      <c r="A57" s="213">
        <v>5101</v>
      </c>
      <c r="B57" s="214" t="s">
        <v>2861</v>
      </c>
      <c r="C57" s="95"/>
      <c r="D57" s="95">
        <v>204540</v>
      </c>
      <c r="E57" s="95"/>
      <c r="F57" s="95">
        <v>171050.75000000006</v>
      </c>
      <c r="G57" s="95"/>
      <c r="H57" s="95">
        <v>186494</v>
      </c>
      <c r="I57" s="95"/>
      <c r="J57" s="95">
        <v>105123</v>
      </c>
      <c r="K57" s="95"/>
      <c r="L57" s="95">
        <v>0</v>
      </c>
      <c r="M57" s="95"/>
      <c r="N57" s="95">
        <v>0</v>
      </c>
      <c r="O57" s="209"/>
      <c r="P57" s="215">
        <v>0</v>
      </c>
      <c r="Q57" s="209"/>
      <c r="R57" s="215">
        <v>0</v>
      </c>
      <c r="S57" s="209"/>
      <c r="T57" s="215">
        <v>0</v>
      </c>
      <c r="U57" s="209"/>
    </row>
    <row r="58" spans="1:25" ht="13.9" thickBot="1" x14ac:dyDescent="0.4">
      <c r="A58" s="216">
        <v>5102</v>
      </c>
      <c r="B58" s="217" t="s">
        <v>2862</v>
      </c>
      <c r="C58" s="95"/>
      <c r="D58" s="95">
        <v>177251</v>
      </c>
      <c r="E58" s="95"/>
      <c r="F58" s="95">
        <v>177028.82</v>
      </c>
      <c r="G58" s="95"/>
      <c r="H58" s="95">
        <v>167396</v>
      </c>
      <c r="I58" s="95"/>
      <c r="J58" s="95">
        <v>109299</v>
      </c>
      <c r="K58" s="95"/>
      <c r="L58" s="95">
        <v>0</v>
      </c>
      <c r="M58" s="95"/>
      <c r="N58" s="95">
        <v>0</v>
      </c>
      <c r="O58" s="209"/>
      <c r="P58" s="218">
        <v>0</v>
      </c>
      <c r="Q58" s="209"/>
      <c r="R58" s="218">
        <v>0</v>
      </c>
      <c r="S58" s="209"/>
      <c r="T58" s="218">
        <v>0</v>
      </c>
      <c r="U58" s="209"/>
    </row>
    <row r="59" spans="1:25" ht="13.5" x14ac:dyDescent="0.35">
      <c r="A59" s="100">
        <v>5103</v>
      </c>
      <c r="B59" s="219" t="s">
        <v>2863</v>
      </c>
      <c r="C59" s="95"/>
      <c r="D59" s="95">
        <v>161923</v>
      </c>
      <c r="E59" s="95"/>
      <c r="F59" s="95">
        <v>174645.5</v>
      </c>
      <c r="G59" s="95"/>
      <c r="H59" s="95">
        <v>185376</v>
      </c>
      <c r="I59" s="95"/>
      <c r="J59" s="95">
        <v>200645</v>
      </c>
      <c r="K59" s="95"/>
      <c r="L59" s="95">
        <v>203077</v>
      </c>
      <c r="M59" s="95"/>
      <c r="N59" s="95">
        <v>209342.4</v>
      </c>
      <c r="O59" s="209"/>
      <c r="P59" s="95">
        <v>233701</v>
      </c>
      <c r="Q59" s="209"/>
      <c r="R59" s="95">
        <v>240355</v>
      </c>
      <c r="S59" s="209"/>
      <c r="T59" s="95">
        <v>256020</v>
      </c>
      <c r="U59" s="209"/>
    </row>
    <row r="60" spans="1:25" ht="13.5" x14ac:dyDescent="0.35">
      <c r="A60" s="100">
        <v>5104</v>
      </c>
      <c r="B60" s="219" t="s">
        <v>2864</v>
      </c>
      <c r="C60" s="95"/>
      <c r="D60" s="95">
        <v>187981</v>
      </c>
      <c r="E60" s="95"/>
      <c r="F60" s="95">
        <v>181756.78</v>
      </c>
      <c r="G60" s="95"/>
      <c r="H60" s="95">
        <v>189443</v>
      </c>
      <c r="I60" s="95"/>
      <c r="J60" s="95">
        <v>204183</v>
      </c>
      <c r="K60" s="95"/>
      <c r="L60" s="95">
        <v>263189</v>
      </c>
      <c r="M60" s="95"/>
      <c r="N60" s="95">
        <v>268377.40000000002</v>
      </c>
      <c r="O60" s="209"/>
      <c r="P60" s="95">
        <v>276251</v>
      </c>
      <c r="Q60" s="209"/>
      <c r="R60" s="95">
        <v>275513</v>
      </c>
      <c r="S60" s="209"/>
      <c r="T60" s="95">
        <v>271990</v>
      </c>
      <c r="U60" s="209"/>
    </row>
    <row r="61" spans="1:25" ht="13.5" x14ac:dyDescent="0.35">
      <c r="A61" s="100">
        <v>5106</v>
      </c>
      <c r="B61" s="219" t="s">
        <v>2865</v>
      </c>
      <c r="C61" s="95"/>
      <c r="D61" s="95">
        <v>207702</v>
      </c>
      <c r="E61" s="95"/>
      <c r="F61" s="95">
        <v>205801.41</v>
      </c>
      <c r="G61" s="95"/>
      <c r="H61" s="95">
        <v>204407</v>
      </c>
      <c r="I61" s="95"/>
      <c r="J61" s="95">
        <v>227549</v>
      </c>
      <c r="K61" s="95"/>
      <c r="L61" s="95">
        <v>246187</v>
      </c>
      <c r="M61" s="95"/>
      <c r="N61" s="95">
        <v>246762.4</v>
      </c>
      <c r="O61" s="209"/>
      <c r="P61" s="95">
        <v>250341</v>
      </c>
      <c r="Q61" s="209"/>
      <c r="R61" s="95">
        <v>259195</v>
      </c>
      <c r="S61" s="209"/>
      <c r="T61" s="95">
        <v>257445</v>
      </c>
      <c r="U61" s="209"/>
    </row>
    <row r="62" spans="1:25" ht="13.5" x14ac:dyDescent="0.35">
      <c r="A62" s="100">
        <v>5107</v>
      </c>
      <c r="B62" s="219" t="s">
        <v>2866</v>
      </c>
      <c r="C62" s="95"/>
      <c r="D62" s="95">
        <v>187676</v>
      </c>
      <c r="E62" s="95"/>
      <c r="F62" s="95">
        <v>193211.15</v>
      </c>
      <c r="G62" s="95"/>
      <c r="H62" s="95">
        <v>199267</v>
      </c>
      <c r="I62" s="95"/>
      <c r="J62" s="95">
        <v>217475</v>
      </c>
      <c r="K62" s="95"/>
      <c r="L62" s="95">
        <v>210305</v>
      </c>
      <c r="M62" s="95"/>
      <c r="N62" s="95">
        <v>221856.4</v>
      </c>
      <c r="O62" s="209"/>
      <c r="P62" s="95">
        <v>225587</v>
      </c>
      <c r="Q62" s="209"/>
      <c r="R62" s="95">
        <v>233405</v>
      </c>
      <c r="S62" s="209"/>
      <c r="T62" s="95">
        <v>256750</v>
      </c>
      <c r="U62" s="209"/>
      <c r="V62" s="80"/>
      <c r="W62" s="80"/>
      <c r="X62" s="80"/>
      <c r="Y62" s="220"/>
    </row>
    <row r="63" spans="1:25" ht="13.5" x14ac:dyDescent="0.35">
      <c r="A63" s="100">
        <v>5110</v>
      </c>
      <c r="B63" s="219" t="s">
        <v>2867</v>
      </c>
      <c r="C63" s="95"/>
      <c r="D63" s="95">
        <v>82205</v>
      </c>
      <c r="E63" s="95"/>
      <c r="F63" s="95">
        <v>86803.13</v>
      </c>
      <c r="G63" s="95"/>
      <c r="H63" s="95">
        <v>104490</v>
      </c>
      <c r="I63" s="95"/>
      <c r="J63" s="95">
        <v>99774</v>
      </c>
      <c r="K63" s="95"/>
      <c r="L63" s="95">
        <v>93914</v>
      </c>
      <c r="M63" s="95"/>
      <c r="N63" s="95">
        <v>96263</v>
      </c>
      <c r="O63" s="209"/>
      <c r="P63" s="95">
        <v>100000</v>
      </c>
      <c r="Q63" s="209"/>
      <c r="R63" s="95">
        <v>150000</v>
      </c>
      <c r="S63" s="209"/>
      <c r="T63" s="95">
        <v>150000</v>
      </c>
      <c r="U63" s="209"/>
    </row>
    <row r="64" spans="1:25" ht="13.9" x14ac:dyDescent="0.4">
      <c r="A64" s="100"/>
      <c r="B64" s="221" t="s">
        <v>2868</v>
      </c>
      <c r="C64" s="134"/>
      <c r="D64" s="134">
        <f>SUM(D57:D63)</f>
        <v>1209278</v>
      </c>
      <c r="E64" s="134"/>
      <c r="F64" s="134">
        <f>SUM(F57:F63)</f>
        <v>1190297.54</v>
      </c>
      <c r="G64" s="134"/>
      <c r="H64" s="134">
        <f>SUM(H57:H63)</f>
        <v>1236873</v>
      </c>
      <c r="I64" s="134"/>
      <c r="J64" s="134">
        <f>SUM(J57:J63)</f>
        <v>1164048</v>
      </c>
      <c r="K64" s="134"/>
      <c r="L64" s="134">
        <f>SUM(L57:L63)</f>
        <v>1016672</v>
      </c>
      <c r="M64" s="134"/>
      <c r="N64" s="134">
        <f>SUM(N57:N63)</f>
        <v>1042601.6000000001</v>
      </c>
      <c r="O64" s="211"/>
      <c r="P64" s="134">
        <f>SUM(P57:P63)</f>
        <v>1085880</v>
      </c>
      <c r="Q64" s="211"/>
      <c r="R64" s="134">
        <f>SUM(R57:R63)</f>
        <v>1158468</v>
      </c>
      <c r="S64" s="211"/>
      <c r="T64" s="134">
        <f>SUM(T57:T63)</f>
        <v>1192205</v>
      </c>
      <c r="U64" s="209"/>
      <c r="V64" s="80"/>
    </row>
    <row r="65" spans="1:21" ht="13.5" x14ac:dyDescent="0.35">
      <c r="A65" s="100">
        <v>5310</v>
      </c>
      <c r="B65" s="219" t="s">
        <v>2869</v>
      </c>
      <c r="C65" s="95"/>
      <c r="D65" s="95">
        <v>615</v>
      </c>
      <c r="E65" s="95"/>
      <c r="F65" s="95">
        <v>0</v>
      </c>
      <c r="G65" s="95"/>
      <c r="H65" s="95">
        <v>0</v>
      </c>
      <c r="I65" s="95"/>
      <c r="J65" s="95">
        <v>0</v>
      </c>
      <c r="K65" s="95"/>
      <c r="L65" s="95">
        <v>0</v>
      </c>
      <c r="M65" s="95"/>
      <c r="N65" s="95">
        <v>1100</v>
      </c>
      <c r="O65" s="209"/>
      <c r="P65" s="95">
        <v>2000</v>
      </c>
      <c r="Q65" s="209"/>
      <c r="R65" s="95">
        <v>2000</v>
      </c>
      <c r="S65" s="209"/>
      <c r="T65" s="95">
        <v>2000</v>
      </c>
      <c r="U65" s="209"/>
    </row>
    <row r="66" spans="1:21" ht="13.9" x14ac:dyDescent="0.4">
      <c r="A66" s="100">
        <v>5311</v>
      </c>
      <c r="B66" s="219" t="s">
        <v>2870</v>
      </c>
      <c r="C66" s="95"/>
      <c r="D66" s="95">
        <v>0</v>
      </c>
      <c r="E66" s="95"/>
      <c r="F66" s="95">
        <v>0</v>
      </c>
      <c r="G66" s="95"/>
      <c r="H66" s="95">
        <v>9000</v>
      </c>
      <c r="I66" s="95"/>
      <c r="J66" s="95">
        <v>13000</v>
      </c>
      <c r="K66" s="95"/>
      <c r="L66" s="95">
        <v>5000</v>
      </c>
      <c r="M66" s="95"/>
      <c r="N66" s="95">
        <v>10000</v>
      </c>
      <c r="O66" s="209"/>
      <c r="P66" s="95">
        <v>10000</v>
      </c>
      <c r="Q66" s="211"/>
      <c r="R66" s="95">
        <v>10000</v>
      </c>
      <c r="S66" s="211"/>
      <c r="T66" s="95">
        <v>10000</v>
      </c>
      <c r="U66" s="209"/>
    </row>
    <row r="67" spans="1:21" ht="13.9" x14ac:dyDescent="0.4">
      <c r="B67" s="133" t="s">
        <v>2871</v>
      </c>
      <c r="C67" s="210"/>
      <c r="D67" s="210">
        <f>SUM(D43:D56)+SUM(D64:D66)</f>
        <v>1442651</v>
      </c>
      <c r="E67" s="210"/>
      <c r="F67" s="210">
        <f>SUM(F43:F56)+SUM(F64:F66)</f>
        <v>1454695.33</v>
      </c>
      <c r="G67" s="210"/>
      <c r="H67" s="210">
        <f>SUM(H43:H56)+SUM(H64:H66)</f>
        <v>1524024</v>
      </c>
      <c r="I67" s="210"/>
      <c r="J67" s="210">
        <f>SUM(J43:J56)+SUM(J64:J66)</f>
        <v>1475856</v>
      </c>
      <c r="K67" s="210"/>
      <c r="L67" s="210">
        <f>SUM(L43:L56)+SUM(L64:L66)</f>
        <v>1324642</v>
      </c>
      <c r="M67" s="210"/>
      <c r="N67" s="210">
        <f>SUM(N43:N56)+SUM(N64:N66)</f>
        <v>1426475.6</v>
      </c>
      <c r="O67" s="222"/>
      <c r="P67" s="210">
        <f>SUM(P43:P56)+SUM(P64:P66)</f>
        <v>1445346</v>
      </c>
      <c r="Q67" s="211"/>
      <c r="R67" s="210">
        <f>SUM(R43:R56)+SUM(R64:R66)</f>
        <v>1560075</v>
      </c>
      <c r="S67" s="211"/>
      <c r="T67" s="210">
        <f>SUM(T43:T56)+SUM(T64:T66)</f>
        <v>1650812</v>
      </c>
      <c r="U67" s="211"/>
    </row>
    <row r="68" spans="1:21" ht="13.9" x14ac:dyDescent="0.4">
      <c r="B68" s="133"/>
      <c r="C68" s="134"/>
      <c r="D68" s="134"/>
      <c r="E68" s="134"/>
      <c r="F68" s="134"/>
      <c r="G68" s="134"/>
      <c r="H68" s="134"/>
      <c r="I68" s="134"/>
      <c r="J68" s="134"/>
      <c r="K68" s="134"/>
      <c r="L68" s="134"/>
      <c r="M68" s="134"/>
      <c r="N68" s="134"/>
      <c r="O68" s="211"/>
      <c r="P68" s="134"/>
      <c r="Q68" s="223"/>
      <c r="R68" s="134"/>
      <c r="S68" s="223"/>
      <c r="T68" s="134"/>
      <c r="U68" s="211"/>
    </row>
    <row r="69" spans="1:21" ht="13.9" x14ac:dyDescent="0.4">
      <c r="B69" s="88" t="s">
        <v>2872</v>
      </c>
      <c r="C69" s="95"/>
      <c r="D69" s="95"/>
      <c r="E69" s="95"/>
      <c r="F69" s="95"/>
      <c r="G69" s="95"/>
      <c r="H69" s="224"/>
      <c r="I69" s="95"/>
      <c r="J69" s="224"/>
      <c r="K69" s="95"/>
      <c r="L69" s="224"/>
      <c r="M69" s="95"/>
      <c r="N69" s="224"/>
      <c r="O69" s="209"/>
      <c r="P69" s="224"/>
      <c r="Q69" s="209"/>
      <c r="R69" s="224"/>
      <c r="S69" s="209"/>
      <c r="T69" s="224"/>
      <c r="U69" s="209"/>
    </row>
    <row r="70" spans="1:21" ht="13.5" x14ac:dyDescent="0.35">
      <c r="A70" s="100">
        <v>6001</v>
      </c>
      <c r="B70" s="83" t="s">
        <v>2873</v>
      </c>
      <c r="C70" s="95"/>
      <c r="D70" s="95">
        <v>-298954</v>
      </c>
      <c r="E70" s="95"/>
      <c r="F70" s="95">
        <v>-298016.31</v>
      </c>
      <c r="G70" s="95"/>
      <c r="H70" s="95">
        <v>-296388.3</v>
      </c>
      <c r="I70" s="95"/>
      <c r="J70" s="95">
        <v>-306270</v>
      </c>
      <c r="K70" s="95"/>
      <c r="L70" s="95">
        <v>-303152</v>
      </c>
      <c r="M70" s="95"/>
      <c r="N70" s="95">
        <v>-302747</v>
      </c>
      <c r="O70" s="209"/>
      <c r="P70" s="95">
        <v>-305500</v>
      </c>
      <c r="Q70" s="209"/>
      <c r="R70" s="95">
        <v>-309000</v>
      </c>
      <c r="S70" s="209"/>
      <c r="T70" s="95">
        <v>-309000</v>
      </c>
      <c r="U70" s="197"/>
    </row>
    <row r="71" spans="1:21" ht="13.5" x14ac:dyDescent="0.35">
      <c r="A71" s="100">
        <v>6001</v>
      </c>
      <c r="B71" s="83" t="s">
        <v>2874</v>
      </c>
      <c r="C71" s="95"/>
      <c r="D71" s="95">
        <v>624264</v>
      </c>
      <c r="E71" s="95"/>
      <c r="F71" s="95">
        <v>631419.69000000006</v>
      </c>
      <c r="G71" s="95"/>
      <c r="H71" s="95">
        <v>634644.30000000005</v>
      </c>
      <c r="I71" s="95"/>
      <c r="J71" s="95">
        <v>647708</v>
      </c>
      <c r="K71" s="95"/>
      <c r="L71" s="95">
        <v>621488</v>
      </c>
      <c r="M71" s="95"/>
      <c r="N71" s="95">
        <v>616588</v>
      </c>
      <c r="O71" s="209"/>
      <c r="P71" s="95">
        <v>636349</v>
      </c>
      <c r="Q71" s="209"/>
      <c r="R71" s="95">
        <v>662513</v>
      </c>
      <c r="S71" s="209"/>
      <c r="T71" s="95">
        <v>673515</v>
      </c>
      <c r="U71" s="197"/>
    </row>
    <row r="72" spans="1:21" ht="13.9" x14ac:dyDescent="0.4">
      <c r="A72" s="135">
        <v>6001</v>
      </c>
      <c r="B72" s="82" t="s">
        <v>2875</v>
      </c>
      <c r="C72" s="134"/>
      <c r="D72" s="134">
        <v>325310</v>
      </c>
      <c r="E72" s="134"/>
      <c r="F72" s="134">
        <v>333403.38000000006</v>
      </c>
      <c r="G72" s="134"/>
      <c r="H72" s="134">
        <v>338256.00000000006</v>
      </c>
      <c r="I72" s="134"/>
      <c r="J72" s="134">
        <v>335438</v>
      </c>
      <c r="K72" s="134"/>
      <c r="L72" s="134">
        <v>318337</v>
      </c>
      <c r="M72" s="134"/>
      <c r="N72" s="134">
        <v>313841</v>
      </c>
      <c r="O72" s="211"/>
      <c r="P72" s="134">
        <v>330849</v>
      </c>
      <c r="Q72" s="211"/>
      <c r="R72" s="134">
        <v>353513</v>
      </c>
      <c r="S72" s="211"/>
      <c r="T72" s="134">
        <v>364515</v>
      </c>
      <c r="U72" s="197"/>
    </row>
    <row r="73" spans="1:21" ht="13.5" x14ac:dyDescent="0.35">
      <c r="A73" s="100">
        <v>6005</v>
      </c>
      <c r="B73" s="83" t="s">
        <v>1164</v>
      </c>
      <c r="C73" s="95"/>
      <c r="D73" s="95">
        <v>22000</v>
      </c>
      <c r="E73" s="95"/>
      <c r="F73" s="95">
        <v>22000</v>
      </c>
      <c r="G73" s="95"/>
      <c r="H73" s="95">
        <v>22000</v>
      </c>
      <c r="I73" s="95"/>
      <c r="J73" s="95">
        <v>22000</v>
      </c>
      <c r="K73" s="95"/>
      <c r="L73" s="95">
        <v>22000</v>
      </c>
      <c r="M73" s="95"/>
      <c r="N73" s="95">
        <v>22000</v>
      </c>
      <c r="O73" s="209"/>
      <c r="P73" s="95">
        <v>22000</v>
      </c>
      <c r="Q73" s="209"/>
      <c r="R73" s="95">
        <v>22000</v>
      </c>
      <c r="S73" s="209"/>
      <c r="T73" s="95">
        <v>22000</v>
      </c>
      <c r="U73" s="197"/>
    </row>
    <row r="74" spans="1:21" ht="13.5" x14ac:dyDescent="0.35">
      <c r="A74" s="100">
        <v>6010</v>
      </c>
      <c r="B74" s="83" t="s">
        <v>1165</v>
      </c>
      <c r="C74" s="95"/>
      <c r="D74" s="95">
        <v>22000</v>
      </c>
      <c r="E74" s="95"/>
      <c r="F74" s="95">
        <v>22000</v>
      </c>
      <c r="G74" s="95"/>
      <c r="H74" s="95">
        <v>22000</v>
      </c>
      <c r="I74" s="95"/>
      <c r="J74" s="95">
        <v>22000</v>
      </c>
      <c r="K74" s="95"/>
      <c r="L74" s="95">
        <v>22000</v>
      </c>
      <c r="M74" s="95"/>
      <c r="N74" s="95">
        <v>22000</v>
      </c>
      <c r="O74" s="209"/>
      <c r="P74" s="95">
        <v>22000</v>
      </c>
      <c r="Q74" s="209"/>
      <c r="R74" s="95">
        <v>49625</v>
      </c>
      <c r="S74" s="209"/>
      <c r="T74" s="95">
        <v>64000</v>
      </c>
      <c r="U74" s="197"/>
    </row>
    <row r="75" spans="1:21" ht="13.9" thickBot="1" x14ac:dyDescent="0.4">
      <c r="A75" s="100">
        <v>6020</v>
      </c>
      <c r="B75" s="83" t="s">
        <v>1168</v>
      </c>
      <c r="C75" s="95"/>
      <c r="D75" s="95">
        <v>9944</v>
      </c>
      <c r="E75" s="95"/>
      <c r="F75" s="95">
        <v>4667</v>
      </c>
      <c r="G75" s="95"/>
      <c r="H75" s="95">
        <v>12729.4</v>
      </c>
      <c r="I75" s="95"/>
      <c r="J75" s="95">
        <v>6360</v>
      </c>
      <c r="K75" s="95"/>
      <c r="L75" s="95">
        <v>10000</v>
      </c>
      <c r="M75" s="95"/>
      <c r="N75" s="95">
        <v>12360</v>
      </c>
      <c r="O75" s="209"/>
      <c r="P75" s="95">
        <v>15000</v>
      </c>
      <c r="Q75" s="209"/>
      <c r="R75" s="95">
        <v>15000</v>
      </c>
      <c r="S75" s="209"/>
      <c r="T75" s="95">
        <v>16500</v>
      </c>
      <c r="U75" s="197"/>
    </row>
    <row r="76" spans="1:21" ht="13.5" x14ac:dyDescent="0.35">
      <c r="A76" s="213">
        <v>6101</v>
      </c>
      <c r="B76" s="225" t="s">
        <v>2876</v>
      </c>
      <c r="C76" s="95"/>
      <c r="D76" s="95">
        <v>21155</v>
      </c>
      <c r="E76" s="95"/>
      <c r="F76" s="95">
        <v>22695.239999999998</v>
      </c>
      <c r="G76" s="95"/>
      <c r="H76" s="95">
        <v>20192.650000000001</v>
      </c>
      <c r="I76" s="95"/>
      <c r="J76" s="95">
        <v>7097</v>
      </c>
      <c r="K76" s="95"/>
      <c r="L76" s="95">
        <v>0</v>
      </c>
      <c r="M76" s="95"/>
      <c r="N76" s="95">
        <v>0</v>
      </c>
      <c r="O76" s="209"/>
      <c r="P76" s="215">
        <v>0</v>
      </c>
      <c r="Q76" s="209"/>
      <c r="R76" s="215">
        <v>0</v>
      </c>
      <c r="S76" s="209"/>
      <c r="T76" s="215">
        <v>0</v>
      </c>
      <c r="U76" s="197"/>
    </row>
    <row r="77" spans="1:21" ht="13.9" thickBot="1" x14ac:dyDescent="0.4">
      <c r="A77" s="216">
        <v>6102</v>
      </c>
      <c r="B77" s="226" t="s">
        <v>2877</v>
      </c>
      <c r="C77" s="95"/>
      <c r="D77" s="95">
        <v>18584</v>
      </c>
      <c r="E77" s="95"/>
      <c r="F77" s="95">
        <v>18644.72</v>
      </c>
      <c r="G77" s="95"/>
      <c r="H77" s="95">
        <v>18790.97</v>
      </c>
      <c r="I77" s="95"/>
      <c r="J77" s="95">
        <v>10215</v>
      </c>
      <c r="K77" s="95"/>
      <c r="L77" s="95">
        <v>0</v>
      </c>
      <c r="M77" s="95"/>
      <c r="N77" s="95">
        <v>0</v>
      </c>
      <c r="O77" s="209"/>
      <c r="P77" s="218">
        <v>0</v>
      </c>
      <c r="Q77" s="209"/>
      <c r="R77" s="218">
        <v>0</v>
      </c>
      <c r="S77" s="209"/>
      <c r="T77" s="218">
        <v>0</v>
      </c>
      <c r="U77" s="197"/>
    </row>
    <row r="78" spans="1:21" ht="13.5" x14ac:dyDescent="0.35">
      <c r="A78" s="100">
        <v>6103</v>
      </c>
      <c r="B78" s="83" t="s">
        <v>2878</v>
      </c>
      <c r="C78" s="95"/>
      <c r="D78" s="95">
        <v>36677</v>
      </c>
      <c r="E78" s="95"/>
      <c r="F78" s="95">
        <v>42729.8</v>
      </c>
      <c r="G78" s="95"/>
      <c r="H78" s="95">
        <v>42235.82</v>
      </c>
      <c r="I78" s="95"/>
      <c r="J78" s="95">
        <v>35340</v>
      </c>
      <c r="K78" s="95"/>
      <c r="L78" s="95">
        <v>31402</v>
      </c>
      <c r="M78" s="95"/>
      <c r="N78" s="95">
        <v>28055</v>
      </c>
      <c r="O78" s="209"/>
      <c r="P78" s="95">
        <v>27460</v>
      </c>
      <c r="Q78" s="209"/>
      <c r="R78" s="95">
        <v>31710</v>
      </c>
      <c r="S78" s="209"/>
      <c r="T78" s="95">
        <v>0</v>
      </c>
      <c r="U78" s="197"/>
    </row>
    <row r="79" spans="1:21" ht="13.5" x14ac:dyDescent="0.35">
      <c r="A79" s="100">
        <v>6104</v>
      </c>
      <c r="B79" s="83" t="s">
        <v>2879</v>
      </c>
      <c r="C79" s="95"/>
      <c r="D79" s="95">
        <v>26570</v>
      </c>
      <c r="E79" s="95"/>
      <c r="F79" s="95">
        <v>25453.48</v>
      </c>
      <c r="G79" s="95"/>
      <c r="H79" s="95">
        <v>27514.54</v>
      </c>
      <c r="I79" s="95"/>
      <c r="J79" s="95">
        <v>25293</v>
      </c>
      <c r="K79" s="95"/>
      <c r="L79" s="95">
        <v>17378</v>
      </c>
      <c r="M79" s="95"/>
      <c r="N79" s="95">
        <v>1200</v>
      </c>
      <c r="O79" s="209"/>
      <c r="P79" s="95">
        <v>0</v>
      </c>
      <c r="Q79" s="209"/>
      <c r="R79" s="95">
        <v>1200</v>
      </c>
      <c r="S79" s="209"/>
      <c r="T79" s="95">
        <v>1200</v>
      </c>
      <c r="U79" s="197"/>
    </row>
    <row r="80" spans="1:21" ht="13.5" x14ac:dyDescent="0.35">
      <c r="A80" s="100">
        <v>6106</v>
      </c>
      <c r="B80" s="83" t="s">
        <v>2880</v>
      </c>
      <c r="C80" s="95"/>
      <c r="D80" s="95">
        <v>35407</v>
      </c>
      <c r="E80" s="95"/>
      <c r="F80" s="95">
        <v>31122.59</v>
      </c>
      <c r="G80" s="95"/>
      <c r="H80" s="95">
        <v>31052.449999999997</v>
      </c>
      <c r="I80" s="95"/>
      <c r="J80" s="95">
        <v>10245</v>
      </c>
      <c r="K80" s="95"/>
      <c r="L80" s="95">
        <v>9600</v>
      </c>
      <c r="M80" s="95"/>
      <c r="N80" s="95">
        <v>9600</v>
      </c>
      <c r="O80" s="209"/>
      <c r="P80" s="95">
        <v>9600</v>
      </c>
      <c r="Q80" s="209"/>
      <c r="R80" s="95">
        <v>9600</v>
      </c>
      <c r="S80" s="209"/>
      <c r="T80" s="95">
        <v>0</v>
      </c>
      <c r="U80" s="197"/>
    </row>
    <row r="81" spans="1:21" ht="13.9" x14ac:dyDescent="0.4">
      <c r="A81" s="100">
        <v>6107</v>
      </c>
      <c r="B81" s="83" t="s">
        <v>2881</v>
      </c>
      <c r="C81" s="95"/>
      <c r="D81" s="95">
        <v>35441</v>
      </c>
      <c r="E81" s="95"/>
      <c r="F81" s="95">
        <v>50169.760000000002</v>
      </c>
      <c r="G81" s="95"/>
      <c r="H81" s="95">
        <v>49467.02</v>
      </c>
      <c r="I81" s="95"/>
      <c r="J81" s="95">
        <v>49124</v>
      </c>
      <c r="K81" s="95"/>
      <c r="L81" s="95">
        <v>45861</v>
      </c>
      <c r="M81" s="95"/>
      <c r="N81" s="95">
        <v>45113</v>
      </c>
      <c r="O81" s="209"/>
      <c r="P81" s="95">
        <v>45600</v>
      </c>
      <c r="Q81" s="211"/>
      <c r="R81" s="95">
        <v>46150</v>
      </c>
      <c r="S81" s="211"/>
      <c r="T81" s="95">
        <v>0</v>
      </c>
      <c r="U81" s="197"/>
    </row>
    <row r="82" spans="1:21" ht="13.9" x14ac:dyDescent="0.4">
      <c r="A82" s="100"/>
      <c r="B82" s="82" t="s">
        <v>2882</v>
      </c>
      <c r="C82" s="95"/>
      <c r="D82" s="134">
        <v>173834</v>
      </c>
      <c r="E82" s="95"/>
      <c r="F82" s="134">
        <v>190815.59</v>
      </c>
      <c r="G82" s="95"/>
      <c r="H82" s="134">
        <v>189253.44999999998</v>
      </c>
      <c r="I82" s="95"/>
      <c r="J82" s="134">
        <v>137314</v>
      </c>
      <c r="K82" s="95"/>
      <c r="L82" s="134">
        <v>104241</v>
      </c>
      <c r="M82" s="95"/>
      <c r="N82" s="134">
        <v>83968</v>
      </c>
      <c r="O82" s="209"/>
      <c r="P82" s="134">
        <v>82660</v>
      </c>
      <c r="Q82" s="209"/>
      <c r="R82" s="134">
        <v>88660</v>
      </c>
      <c r="S82" s="209"/>
      <c r="T82" s="134">
        <v>1200</v>
      </c>
      <c r="U82" s="197"/>
    </row>
    <row r="83" spans="1:21" ht="13.5" x14ac:dyDescent="0.35">
      <c r="A83" s="100">
        <v>6120</v>
      </c>
      <c r="B83" s="83" t="s">
        <v>1182</v>
      </c>
      <c r="C83" s="95"/>
      <c r="D83" s="95">
        <v>18653</v>
      </c>
      <c r="E83" s="95"/>
      <c r="F83" s="95">
        <v>12632.869999999999</v>
      </c>
      <c r="G83" s="95"/>
      <c r="H83" s="95">
        <v>7766</v>
      </c>
      <c r="I83" s="95"/>
      <c r="J83" s="95">
        <v>9360</v>
      </c>
      <c r="K83" s="95"/>
      <c r="L83" s="95">
        <v>-8072</v>
      </c>
      <c r="M83" s="95"/>
      <c r="N83" s="95">
        <v>-7729</v>
      </c>
      <c r="O83" s="209"/>
      <c r="P83" s="95">
        <v>-2000</v>
      </c>
      <c r="Q83" s="204"/>
      <c r="R83" s="95">
        <v>-1500</v>
      </c>
      <c r="S83" s="204"/>
      <c r="T83" s="95">
        <v>14000</v>
      </c>
      <c r="U83" s="197"/>
    </row>
    <row r="84" spans="1:21" ht="13.5" x14ac:dyDescent="0.35">
      <c r="A84" s="100">
        <v>6110</v>
      </c>
      <c r="B84" s="83" t="s">
        <v>1192</v>
      </c>
      <c r="C84" s="80"/>
      <c r="D84" s="80">
        <v>92218</v>
      </c>
      <c r="E84" s="80"/>
      <c r="F84" s="80">
        <v>75260.86</v>
      </c>
      <c r="G84" s="80"/>
      <c r="H84" s="80">
        <v>73976.98000000001</v>
      </c>
      <c r="I84" s="80"/>
      <c r="J84" s="80">
        <v>75435</v>
      </c>
      <c r="K84" s="80"/>
      <c r="L84" s="80">
        <v>76005</v>
      </c>
      <c r="M84" s="80"/>
      <c r="N84" s="80">
        <v>88060</v>
      </c>
      <c r="O84" s="204"/>
      <c r="P84" s="80">
        <v>94000</v>
      </c>
      <c r="Q84" s="204"/>
      <c r="R84" s="80">
        <v>89200</v>
      </c>
      <c r="S84" s="204"/>
      <c r="T84" s="80">
        <v>90000</v>
      </c>
      <c r="U84" s="197"/>
    </row>
    <row r="85" spans="1:21" ht="13.9" x14ac:dyDescent="0.4">
      <c r="A85" s="100">
        <v>6130</v>
      </c>
      <c r="B85" s="83" t="s">
        <v>2883</v>
      </c>
      <c r="C85" s="80"/>
      <c r="D85" s="80">
        <v>28541</v>
      </c>
      <c r="E85" s="80"/>
      <c r="F85" s="80">
        <v>25024.86</v>
      </c>
      <c r="G85" s="80"/>
      <c r="H85" s="80">
        <v>23078.63</v>
      </c>
      <c r="I85" s="80"/>
      <c r="J85" s="80">
        <v>22439</v>
      </c>
      <c r="K85" s="80"/>
      <c r="L85" s="80">
        <v>35853</v>
      </c>
      <c r="M85" s="80"/>
      <c r="N85" s="80">
        <v>34036</v>
      </c>
      <c r="O85" s="204"/>
      <c r="P85" s="80">
        <v>40500</v>
      </c>
      <c r="Q85" s="201"/>
      <c r="R85" s="80">
        <v>40500</v>
      </c>
      <c r="S85" s="201"/>
      <c r="T85" s="80">
        <v>40500</v>
      </c>
      <c r="U85" s="197"/>
    </row>
    <row r="86" spans="1:21" ht="13.9" x14ac:dyDescent="0.4">
      <c r="A86" s="100"/>
      <c r="B86" s="82" t="s">
        <v>2884</v>
      </c>
      <c r="C86" s="80"/>
      <c r="D86" s="114">
        <v>313246</v>
      </c>
      <c r="E86" s="80"/>
      <c r="F86" s="114">
        <v>303734.18</v>
      </c>
      <c r="G86" s="80"/>
      <c r="H86" s="114">
        <v>294075</v>
      </c>
      <c r="I86" s="80"/>
      <c r="J86" s="114">
        <v>244548</v>
      </c>
      <c r="K86" s="80"/>
      <c r="L86" s="114">
        <v>208027</v>
      </c>
      <c r="M86" s="80"/>
      <c r="N86" s="114">
        <v>198334</v>
      </c>
      <c r="O86" s="204"/>
      <c r="P86" s="114">
        <v>215160</v>
      </c>
      <c r="Q86" s="204"/>
      <c r="R86" s="114">
        <v>216860</v>
      </c>
      <c r="S86" s="204"/>
      <c r="T86" s="114">
        <v>145700</v>
      </c>
      <c r="U86" s="197"/>
    </row>
    <row r="87" spans="1:21" ht="13.5" x14ac:dyDescent="0.35">
      <c r="A87" s="100"/>
      <c r="B87" s="83" t="s">
        <v>1197</v>
      </c>
      <c r="C87" s="80"/>
      <c r="D87" s="80">
        <v>-20464</v>
      </c>
      <c r="E87" s="80"/>
      <c r="F87" s="80">
        <v>-22351.599999999999</v>
      </c>
      <c r="G87" s="80"/>
      <c r="H87" s="80">
        <v>-22274.080000000002</v>
      </c>
      <c r="I87" s="80"/>
      <c r="J87" s="80">
        <v>-19397</v>
      </c>
      <c r="K87" s="80"/>
      <c r="L87" s="80">
        <v>-34709</v>
      </c>
      <c r="M87" s="80"/>
      <c r="N87" s="80">
        <v>-36768</v>
      </c>
      <c r="O87" s="204"/>
      <c r="P87" s="80">
        <v>-20000</v>
      </c>
      <c r="Q87" s="204"/>
      <c r="R87" s="80">
        <v>-20000</v>
      </c>
      <c r="S87" s="204"/>
      <c r="T87" s="80">
        <v>-20000</v>
      </c>
      <c r="U87" s="197"/>
    </row>
    <row r="88" spans="1:21" ht="13.5" x14ac:dyDescent="0.35">
      <c r="A88" s="100"/>
      <c r="B88" s="83" t="s">
        <v>897</v>
      </c>
      <c r="C88" s="80"/>
      <c r="D88" s="80">
        <v>-9435</v>
      </c>
      <c r="E88" s="80"/>
      <c r="F88" s="80">
        <v>-9435</v>
      </c>
      <c r="G88" s="80"/>
      <c r="H88" s="80">
        <v>-11435</v>
      </c>
      <c r="I88" s="80"/>
      <c r="J88" s="80">
        <v>-11435</v>
      </c>
      <c r="K88" s="80"/>
      <c r="L88" s="80">
        <v>-11435</v>
      </c>
      <c r="M88" s="80"/>
      <c r="N88" s="80">
        <v>-11435</v>
      </c>
      <c r="O88" s="204"/>
      <c r="P88" s="80">
        <v>-11435</v>
      </c>
      <c r="Q88" s="204"/>
      <c r="R88" s="80">
        <v>-11435</v>
      </c>
      <c r="S88" s="204"/>
      <c r="T88" s="80">
        <v>-11435</v>
      </c>
      <c r="U88" s="197"/>
    </row>
    <row r="89" spans="1:21" ht="13.9" x14ac:dyDescent="0.4">
      <c r="A89" s="100"/>
      <c r="B89" s="83" t="s">
        <v>2885</v>
      </c>
      <c r="C89" s="80"/>
      <c r="D89" s="80">
        <v>-74864</v>
      </c>
      <c r="E89" s="80"/>
      <c r="F89" s="80">
        <v>-74864</v>
      </c>
      <c r="G89" s="80"/>
      <c r="H89" s="80">
        <v>-76364</v>
      </c>
      <c r="I89" s="80"/>
      <c r="J89" s="80">
        <v>-76364</v>
      </c>
      <c r="K89" s="80"/>
      <c r="L89" s="80">
        <v>-76364</v>
      </c>
      <c r="M89" s="80"/>
      <c r="N89" s="80">
        <v>-72000</v>
      </c>
      <c r="O89" s="204"/>
      <c r="P89" s="80">
        <v>-72000</v>
      </c>
      <c r="Q89" s="201"/>
      <c r="R89" s="80">
        <v>-48000</v>
      </c>
      <c r="S89" s="201"/>
      <c r="T89" s="80">
        <v>0</v>
      </c>
      <c r="U89" s="197"/>
    </row>
    <row r="90" spans="1:21" ht="13.9" x14ac:dyDescent="0.4">
      <c r="A90" s="100"/>
      <c r="B90" s="82" t="s">
        <v>2886</v>
      </c>
      <c r="C90" s="80"/>
      <c r="D90" s="114">
        <v>-104763</v>
      </c>
      <c r="E90" s="80"/>
      <c r="F90" s="114">
        <v>-106650.6</v>
      </c>
      <c r="G90" s="80"/>
      <c r="H90" s="114">
        <v>-110073.08</v>
      </c>
      <c r="I90" s="80"/>
      <c r="J90" s="114">
        <v>-107196</v>
      </c>
      <c r="K90" s="80"/>
      <c r="L90" s="114">
        <v>-122508</v>
      </c>
      <c r="M90" s="80"/>
      <c r="N90" s="114">
        <v>-120203</v>
      </c>
      <c r="O90" s="204"/>
      <c r="P90" s="114">
        <v>-103435</v>
      </c>
      <c r="Q90" s="201"/>
      <c r="R90" s="114">
        <v>-79435</v>
      </c>
      <c r="S90" s="201"/>
      <c r="T90" s="114">
        <v>-31435</v>
      </c>
      <c r="U90" s="197"/>
    </row>
    <row r="91" spans="1:21" ht="13.9" x14ac:dyDescent="0.4">
      <c r="A91" s="100"/>
      <c r="B91" s="82" t="s">
        <v>2887</v>
      </c>
      <c r="C91" s="80"/>
      <c r="D91" s="114">
        <v>208483</v>
      </c>
      <c r="E91" s="80"/>
      <c r="F91" s="114">
        <v>197083.58</v>
      </c>
      <c r="G91" s="80"/>
      <c r="H91" s="114">
        <v>184001.97999999998</v>
      </c>
      <c r="I91" s="80"/>
      <c r="J91" s="114">
        <v>137352</v>
      </c>
      <c r="K91" s="80"/>
      <c r="L91" s="114">
        <v>85519</v>
      </c>
      <c r="M91" s="80"/>
      <c r="N91" s="114">
        <v>78131</v>
      </c>
      <c r="O91" s="204"/>
      <c r="P91" s="114">
        <v>111725</v>
      </c>
      <c r="Q91" s="204"/>
      <c r="R91" s="114">
        <v>137425</v>
      </c>
      <c r="S91" s="204"/>
      <c r="T91" s="114">
        <v>114265</v>
      </c>
      <c r="U91" s="197"/>
    </row>
    <row r="92" spans="1:21" ht="13.5" x14ac:dyDescent="0.35">
      <c r="A92" s="100">
        <v>6300</v>
      </c>
      <c r="B92" s="83" t="s">
        <v>2888</v>
      </c>
      <c r="C92" s="80"/>
      <c r="D92" s="80">
        <v>98168</v>
      </c>
      <c r="E92" s="80"/>
      <c r="F92" s="80">
        <v>103857.54000000001</v>
      </c>
      <c r="G92" s="80"/>
      <c r="H92" s="80">
        <v>109719.18</v>
      </c>
      <c r="I92" s="80"/>
      <c r="J92" s="80">
        <v>110561</v>
      </c>
      <c r="K92" s="80"/>
      <c r="L92" s="80">
        <v>112312</v>
      </c>
      <c r="M92" s="80"/>
      <c r="N92" s="80">
        <v>112125</v>
      </c>
      <c r="O92" s="204"/>
      <c r="P92" s="80">
        <v>123019</v>
      </c>
      <c r="Q92" s="204"/>
      <c r="R92" s="80">
        <v>131119</v>
      </c>
      <c r="S92" s="204"/>
      <c r="T92" s="80">
        <v>133200</v>
      </c>
      <c r="U92" s="197"/>
    </row>
    <row r="93" spans="1:21" ht="13.5" x14ac:dyDescent="0.35">
      <c r="A93" s="100">
        <v>6215</v>
      </c>
      <c r="B93" s="83" t="s">
        <v>1218</v>
      </c>
      <c r="C93" s="80"/>
      <c r="D93" s="80">
        <v>6732</v>
      </c>
      <c r="E93" s="80"/>
      <c r="F93" s="80">
        <v>8827.4099999999926</v>
      </c>
      <c r="G93" s="80"/>
      <c r="H93" s="80">
        <v>39430.410000000003</v>
      </c>
      <c r="I93" s="80"/>
      <c r="J93" s="80">
        <v>-2868</v>
      </c>
      <c r="K93" s="80"/>
      <c r="L93" s="80">
        <v>-6119</v>
      </c>
      <c r="M93" s="80"/>
      <c r="N93" s="80">
        <v>14732</v>
      </c>
      <c r="O93" s="204"/>
      <c r="P93" s="80">
        <v>0</v>
      </c>
      <c r="Q93" s="204"/>
      <c r="R93" s="80">
        <v>0</v>
      </c>
      <c r="S93" s="204"/>
      <c r="T93" s="80">
        <v>0</v>
      </c>
      <c r="U93" s="197"/>
    </row>
    <row r="94" spans="1:21" ht="13.5" x14ac:dyDescent="0.35">
      <c r="A94" s="100">
        <v>6230</v>
      </c>
      <c r="B94" s="83" t="s">
        <v>2889</v>
      </c>
      <c r="C94" s="80"/>
      <c r="D94" s="80">
        <v>0</v>
      </c>
      <c r="E94" s="80"/>
      <c r="F94" s="80">
        <v>1795.25</v>
      </c>
      <c r="G94" s="80"/>
      <c r="H94" s="80">
        <v>0</v>
      </c>
      <c r="I94" s="80"/>
      <c r="J94" s="80">
        <v>0</v>
      </c>
      <c r="K94" s="80"/>
      <c r="L94" s="80">
        <v>0</v>
      </c>
      <c r="M94" s="80"/>
      <c r="N94" s="80">
        <v>0</v>
      </c>
      <c r="O94" s="204"/>
      <c r="P94" s="80">
        <v>0</v>
      </c>
      <c r="Q94" s="204"/>
      <c r="R94" s="80">
        <v>0</v>
      </c>
      <c r="S94" s="204"/>
      <c r="T94" s="80">
        <v>0</v>
      </c>
      <c r="U94" s="197"/>
    </row>
    <row r="95" spans="1:21" ht="13.5" x14ac:dyDescent="0.35">
      <c r="A95" s="100">
        <v>6250</v>
      </c>
      <c r="B95" s="83" t="s">
        <v>2890</v>
      </c>
      <c r="C95" s="80"/>
      <c r="D95" s="80">
        <v>58166</v>
      </c>
      <c r="E95" s="80"/>
      <c r="F95" s="80">
        <v>58166</v>
      </c>
      <c r="G95" s="80"/>
      <c r="H95" s="80">
        <v>28166</v>
      </c>
      <c r="I95" s="80"/>
      <c r="J95" s="80">
        <v>35057</v>
      </c>
      <c r="K95" s="80"/>
      <c r="L95" s="80">
        <v>35057</v>
      </c>
      <c r="M95" s="80"/>
      <c r="N95" s="80">
        <v>35057</v>
      </c>
      <c r="O95" s="204"/>
      <c r="P95" s="80">
        <v>35057</v>
      </c>
      <c r="Q95" s="204"/>
      <c r="R95" s="80">
        <v>35057</v>
      </c>
      <c r="S95" s="204"/>
      <c r="T95" s="80">
        <v>35057</v>
      </c>
      <c r="U95" s="197"/>
    </row>
    <row r="96" spans="1:21" x14ac:dyDescent="0.4">
      <c r="A96" s="100">
        <v>6260</v>
      </c>
      <c r="B96" s="76" t="s">
        <v>2891</v>
      </c>
      <c r="C96" s="80"/>
      <c r="D96" s="80">
        <v>68431</v>
      </c>
      <c r="E96" s="80"/>
      <c r="F96" s="80">
        <v>54171.54</v>
      </c>
      <c r="G96" s="80"/>
      <c r="H96" s="80">
        <v>60949</v>
      </c>
      <c r="I96" s="80"/>
      <c r="J96" s="80">
        <v>72023</v>
      </c>
      <c r="K96" s="80"/>
      <c r="L96" s="80">
        <v>38819</v>
      </c>
      <c r="M96" s="80"/>
      <c r="N96" s="80">
        <v>73398</v>
      </c>
      <c r="O96" s="204"/>
      <c r="P96" s="80">
        <v>85000</v>
      </c>
      <c r="Q96" s="201"/>
      <c r="R96" s="80">
        <v>85000</v>
      </c>
      <c r="S96" s="201"/>
      <c r="T96" s="80">
        <v>85000</v>
      </c>
      <c r="U96" s="197"/>
    </row>
    <row r="97" spans="1:21" ht="13.9" x14ac:dyDescent="0.4">
      <c r="A97" s="100"/>
      <c r="B97" s="88" t="s">
        <v>2892</v>
      </c>
      <c r="C97" s="80"/>
      <c r="D97" s="114">
        <v>819234</v>
      </c>
      <c r="E97" s="80"/>
      <c r="F97" s="114">
        <v>805971.7</v>
      </c>
      <c r="G97" s="80"/>
      <c r="H97" s="114">
        <v>817252</v>
      </c>
      <c r="I97" s="80"/>
      <c r="J97" s="114">
        <v>738023</v>
      </c>
      <c r="K97" s="80"/>
      <c r="L97" s="114">
        <v>627925</v>
      </c>
      <c r="M97" s="80"/>
      <c r="N97" s="114">
        <v>683644</v>
      </c>
      <c r="O97" s="204"/>
      <c r="P97" s="114">
        <v>777007</v>
      </c>
      <c r="Q97" s="201"/>
      <c r="R97" s="114">
        <v>828739</v>
      </c>
      <c r="S97" s="201"/>
      <c r="T97" s="114">
        <v>834537</v>
      </c>
      <c r="U97" s="197"/>
    </row>
    <row r="98" spans="1:21" x14ac:dyDescent="0.4">
      <c r="B98" s="148" t="s">
        <v>2893</v>
      </c>
      <c r="C98" s="80"/>
      <c r="D98" s="206">
        <v>2823299</v>
      </c>
      <c r="E98" s="80"/>
      <c r="F98" s="206">
        <v>2827043.01</v>
      </c>
      <c r="G98" s="80"/>
      <c r="H98" s="206">
        <v>2917761.6700000004</v>
      </c>
      <c r="I98" s="80"/>
      <c r="J98" s="206">
        <v>2913864</v>
      </c>
      <c r="K98" s="80"/>
      <c r="L98" s="206">
        <v>2683272</v>
      </c>
      <c r="M98" s="80"/>
      <c r="N98" s="206">
        <v>2833741</v>
      </c>
      <c r="O98" s="227"/>
      <c r="P98" s="206">
        <v>3012323</v>
      </c>
      <c r="Q98" s="197"/>
      <c r="R98" s="206">
        <v>3285881</v>
      </c>
      <c r="S98" s="197"/>
      <c r="T98" s="206">
        <v>3225500</v>
      </c>
      <c r="U98" s="197"/>
    </row>
  </sheetData>
  <mergeCells count="2">
    <mergeCell ref="A1:U1"/>
    <mergeCell ref="A2:U2"/>
  </mergeCells>
  <pageMargins left="0.7" right="0.7" top="0.75" bottom="0.75" header="0.3" footer="0.3"/>
  <pageSetup scale="64" fitToHeight="2" orientation="landscape"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25"/>
  <sheetViews>
    <sheetView workbookViewId="0">
      <selection sqref="A1:U1"/>
    </sheetView>
  </sheetViews>
  <sheetFormatPr defaultRowHeight="12.4" x14ac:dyDescent="0.35"/>
  <cols>
    <col min="1" max="1" width="3.5703125" customWidth="1"/>
    <col min="2" max="2" width="44" customWidth="1"/>
    <col min="3" max="3" width="3.5703125" customWidth="1"/>
    <col min="4" max="4" width="19" customWidth="1"/>
    <col min="5" max="5" width="3.5703125" customWidth="1"/>
    <col min="6" max="6" width="16.7109375" style="239" customWidth="1"/>
    <col min="7" max="7" width="3.5703125" customWidth="1"/>
    <col min="8" max="8" width="16.7109375" customWidth="1"/>
    <col min="9" max="9" width="3.5703125" customWidth="1"/>
    <col min="10" max="10" width="16.7109375" customWidth="1"/>
    <col min="11" max="11" width="3.5703125" customWidth="1"/>
    <col min="12" max="12" width="16.7109375" customWidth="1"/>
    <col min="13" max="13" width="3.5703125" customWidth="1"/>
    <col min="14" max="14" width="11.2109375" bestFit="1" customWidth="1"/>
    <col min="15" max="15" width="5.5703125" customWidth="1"/>
    <col min="18" max="18" width="20.7109375" bestFit="1" customWidth="1"/>
    <col min="19" max="19" width="7.85546875" bestFit="1" customWidth="1"/>
    <col min="20" max="20" width="6.5703125" bestFit="1" customWidth="1"/>
    <col min="21" max="21" width="6.7109375" bestFit="1" customWidth="1"/>
    <col min="22" max="22" width="8.5703125" bestFit="1" customWidth="1"/>
    <col min="23" max="23" width="8.42578125" bestFit="1" customWidth="1"/>
    <col min="24" max="24" width="6.5703125" bestFit="1" customWidth="1"/>
    <col min="25" max="25" width="10.42578125" bestFit="1" customWidth="1"/>
    <col min="26" max="26" width="8.140625" bestFit="1" customWidth="1"/>
    <col min="27" max="27" width="6.7109375" bestFit="1" customWidth="1"/>
  </cols>
  <sheetData>
    <row r="1" spans="2:27" ht="22.5" x14ac:dyDescent="0.6">
      <c r="B1" s="228" t="s">
        <v>2894</v>
      </c>
      <c r="C1" s="228"/>
      <c r="D1" s="228"/>
      <c r="E1" s="228"/>
      <c r="F1" s="228"/>
      <c r="G1" s="228"/>
      <c r="H1" s="228"/>
      <c r="I1" s="228"/>
      <c r="J1" s="228"/>
      <c r="K1" s="228"/>
      <c r="L1" s="228"/>
      <c r="M1" s="228"/>
      <c r="N1" s="228"/>
      <c r="O1" s="228"/>
      <c r="R1" s="229"/>
      <c r="S1" s="230"/>
      <c r="T1" s="230"/>
      <c r="U1" s="230"/>
      <c r="V1" s="230"/>
      <c r="W1" s="230"/>
      <c r="X1" s="230"/>
      <c r="Y1" s="230"/>
      <c r="Z1" s="231"/>
      <c r="AA1" s="232"/>
    </row>
    <row r="2" spans="2:27" ht="22.5" x14ac:dyDescent="0.6">
      <c r="B2" s="228" t="s">
        <v>2895</v>
      </c>
      <c r="C2" s="228"/>
      <c r="D2" s="228"/>
      <c r="E2" s="228"/>
      <c r="F2" s="228"/>
      <c r="G2" s="228"/>
      <c r="H2" s="228"/>
      <c r="I2" s="228"/>
      <c r="J2" s="228"/>
      <c r="K2" s="228"/>
      <c r="L2" s="228"/>
      <c r="M2" s="228"/>
      <c r="N2" s="228"/>
      <c r="R2" s="230"/>
      <c r="S2" s="230"/>
      <c r="T2" s="230"/>
      <c r="U2" s="230"/>
      <c r="V2" s="230"/>
      <c r="W2" s="230"/>
      <c r="X2" s="230"/>
      <c r="Y2" s="230"/>
      <c r="Z2" s="233"/>
      <c r="AA2" s="232"/>
    </row>
    <row r="3" spans="2:27" ht="15" x14ac:dyDescent="0.4">
      <c r="D3" s="179"/>
      <c r="F3" s="234"/>
      <c r="N3" s="179"/>
      <c r="R3" s="230"/>
      <c r="S3" s="230"/>
      <c r="T3" s="230"/>
      <c r="U3" s="230"/>
      <c r="V3" s="230"/>
      <c r="W3" s="230"/>
      <c r="X3" s="232"/>
      <c r="Y3" s="230"/>
      <c r="Z3" s="233"/>
      <c r="AA3" s="232"/>
    </row>
    <row r="4" spans="2:27" ht="17.649999999999999" x14ac:dyDescent="0.5">
      <c r="B4" s="24" t="s">
        <v>2896</v>
      </c>
      <c r="D4" s="179"/>
      <c r="F4" s="234"/>
      <c r="N4" s="179"/>
    </row>
    <row r="5" spans="2:27" ht="17.649999999999999" x14ac:dyDescent="0.5">
      <c r="B5" s="4"/>
      <c r="D5" s="235" t="s">
        <v>1384</v>
      </c>
      <c r="F5" s="235" t="s">
        <v>1384</v>
      </c>
      <c r="H5" s="235" t="s">
        <v>1384</v>
      </c>
      <c r="J5" s="235" t="s">
        <v>1384</v>
      </c>
      <c r="L5" s="235" t="s">
        <v>1384</v>
      </c>
      <c r="N5" s="179" t="s">
        <v>1385</v>
      </c>
      <c r="R5" s="230"/>
      <c r="S5" s="230"/>
      <c r="T5" s="230"/>
      <c r="U5" s="230"/>
      <c r="V5" s="230"/>
      <c r="W5" s="230"/>
      <c r="X5" s="230"/>
      <c r="Y5" s="230"/>
      <c r="Z5" s="233"/>
      <c r="AA5" s="232"/>
    </row>
    <row r="6" spans="2:27" ht="17.649999999999999" x14ac:dyDescent="0.5">
      <c r="B6" s="4"/>
      <c r="D6" s="235">
        <v>2017</v>
      </c>
      <c r="F6" s="235">
        <v>2018</v>
      </c>
      <c r="H6" s="235">
        <v>2019</v>
      </c>
      <c r="J6" s="235">
        <v>2020</v>
      </c>
      <c r="L6" s="235">
        <v>2021</v>
      </c>
      <c r="N6" s="179" t="s">
        <v>2897</v>
      </c>
    </row>
    <row r="7" spans="2:27" ht="15" x14ac:dyDescent="0.4">
      <c r="B7" s="179"/>
      <c r="D7" s="234"/>
      <c r="F7" s="234"/>
      <c r="H7" s="234"/>
      <c r="J7" s="234"/>
      <c r="L7" s="234"/>
    </row>
    <row r="8" spans="2:27" ht="17.649999999999999" x14ac:dyDescent="0.5">
      <c r="B8" s="236" t="s">
        <v>2898</v>
      </c>
      <c r="D8" s="237">
        <v>1215025</v>
      </c>
      <c r="F8" s="237">
        <v>1220902</v>
      </c>
      <c r="H8" s="237">
        <v>1186608</v>
      </c>
      <c r="J8" s="237">
        <v>1162359</v>
      </c>
      <c r="L8" s="237">
        <v>887156</v>
      </c>
      <c r="N8" s="238">
        <f>(+L8-D8)/D8</f>
        <v>-0.26984547643052614</v>
      </c>
    </row>
    <row r="9" spans="2:27" ht="20.100000000000001" customHeight="1" x14ac:dyDescent="0.35">
      <c r="D9" s="239"/>
      <c r="H9" s="239"/>
      <c r="J9" s="239"/>
      <c r="L9" s="239"/>
    </row>
    <row r="10" spans="2:27" ht="17.649999999999999" x14ac:dyDescent="0.5">
      <c r="B10" s="240" t="s">
        <v>2899</v>
      </c>
      <c r="D10" s="241"/>
      <c r="F10" s="241"/>
      <c r="H10" s="241"/>
      <c r="J10" s="241"/>
      <c r="L10" s="241"/>
    </row>
    <row r="11" spans="2:27" ht="17.25" x14ac:dyDescent="0.45">
      <c r="B11" s="242" t="s">
        <v>2900</v>
      </c>
      <c r="D11" s="243">
        <v>410379</v>
      </c>
      <c r="F11" s="243">
        <v>412364</v>
      </c>
      <c r="H11" s="243">
        <v>400781</v>
      </c>
      <c r="J11" s="243">
        <v>392591</v>
      </c>
      <c r="L11" s="243">
        <v>277859</v>
      </c>
      <c r="N11" s="238"/>
    </row>
    <row r="12" spans="2:27" ht="17.25" x14ac:dyDescent="0.45">
      <c r="B12" s="242" t="s">
        <v>2901</v>
      </c>
      <c r="D12" s="243">
        <v>163696</v>
      </c>
      <c r="F12" s="243">
        <v>164488</v>
      </c>
      <c r="H12" s="243">
        <v>159868</v>
      </c>
      <c r="J12" s="243">
        <v>156601</v>
      </c>
      <c r="L12" s="243">
        <v>128407</v>
      </c>
      <c r="N12" s="238"/>
    </row>
    <row r="13" spans="2:27" ht="17.25" x14ac:dyDescent="0.45">
      <c r="B13" s="242" t="s">
        <v>2902</v>
      </c>
      <c r="D13" s="243">
        <v>36635</v>
      </c>
      <c r="F13" s="243">
        <v>36812</v>
      </c>
      <c r="H13" s="243">
        <v>35778</v>
      </c>
      <c r="J13" s="243">
        <v>35047</v>
      </c>
      <c r="L13" s="243">
        <v>28868</v>
      </c>
      <c r="N13" s="238"/>
    </row>
    <row r="14" spans="2:27" ht="17.25" x14ac:dyDescent="0.45">
      <c r="B14" s="242" t="s">
        <v>2903</v>
      </c>
      <c r="D14" s="243">
        <v>359818</v>
      </c>
      <c r="F14" s="243">
        <v>361559</v>
      </c>
      <c r="H14" s="243">
        <v>351403</v>
      </c>
      <c r="J14" s="243">
        <v>344222</v>
      </c>
      <c r="L14" s="243">
        <v>356226</v>
      </c>
      <c r="N14" s="238"/>
    </row>
    <row r="15" spans="2:27" ht="17.25" x14ac:dyDescent="0.45">
      <c r="B15" s="242" t="s">
        <v>2904</v>
      </c>
      <c r="D15" s="243">
        <v>144274</v>
      </c>
      <c r="F15" s="243">
        <v>144972</v>
      </c>
      <c r="H15" s="243">
        <v>140900</v>
      </c>
      <c r="J15" s="243">
        <v>138021</v>
      </c>
      <c r="L15" s="243">
        <v>109252</v>
      </c>
      <c r="N15" s="238"/>
    </row>
    <row r="16" spans="2:27" ht="17.25" x14ac:dyDescent="0.45">
      <c r="B16" s="242" t="s">
        <v>2905</v>
      </c>
      <c r="D16" s="243">
        <v>32095</v>
      </c>
      <c r="F16" s="243">
        <v>32250</v>
      </c>
      <c r="H16" s="243">
        <v>31344</v>
      </c>
      <c r="J16" s="243">
        <v>30703</v>
      </c>
      <c r="L16" s="243">
        <v>3841</v>
      </c>
      <c r="N16" s="238"/>
    </row>
    <row r="17" spans="2:14" ht="17.649999999999999" x14ac:dyDescent="0.5">
      <c r="B17" s="240" t="s">
        <v>2906</v>
      </c>
      <c r="D17" s="241">
        <f>SUM(D11:D16)</f>
        <v>1146897</v>
      </c>
      <c r="F17" s="241">
        <f>SUM(F11:F16)</f>
        <v>1152445</v>
      </c>
      <c r="H17" s="241">
        <f>SUM(H11:H16)</f>
        <v>1120074</v>
      </c>
      <c r="J17" s="241">
        <f>SUM(J11:J16)</f>
        <v>1097185</v>
      </c>
      <c r="L17" s="241">
        <f>SUM(L11:L16)</f>
        <v>904453</v>
      </c>
      <c r="N17" s="238">
        <f>(+L17-D17)/D17</f>
        <v>-0.21139125832572586</v>
      </c>
    </row>
    <row r="18" spans="2:14" ht="17.649999999999999" x14ac:dyDescent="0.5">
      <c r="B18" s="242"/>
      <c r="D18" s="241"/>
      <c r="F18" s="241"/>
      <c r="H18" s="241"/>
      <c r="J18" s="241"/>
      <c r="L18" s="241"/>
    </row>
    <row r="19" spans="2:14" ht="17.649999999999999" x14ac:dyDescent="0.5">
      <c r="B19" s="244" t="s">
        <v>1382</v>
      </c>
      <c r="D19" s="245">
        <f>SUM(D8:D16)</f>
        <v>2361922</v>
      </c>
      <c r="F19" s="245">
        <f>SUM(F8:F16)</f>
        <v>2373347</v>
      </c>
      <c r="H19" s="245">
        <f>SUM(H8:H16)</f>
        <v>2306682</v>
      </c>
      <c r="J19" s="245">
        <f>SUM(J8:J16)</f>
        <v>2259544</v>
      </c>
      <c r="L19" s="245">
        <f>SUM(L8:L16)</f>
        <v>1791609</v>
      </c>
      <c r="N19" s="238">
        <f>(+L19-D19)/D19</f>
        <v>-0.24146140304379229</v>
      </c>
    </row>
    <row r="20" spans="2:14" ht="19.149999999999999" x14ac:dyDescent="0.65">
      <c r="B20" s="246"/>
      <c r="D20" s="246"/>
      <c r="F20" s="247"/>
    </row>
    <row r="21" spans="2:14" ht="20.100000000000001" customHeight="1" x14ac:dyDescent="0.35"/>
    <row r="22" spans="2:14" ht="20.100000000000001" customHeight="1" x14ac:dyDescent="0.35"/>
    <row r="23" spans="2:14" ht="20.100000000000001" customHeight="1" x14ac:dyDescent="0.35"/>
    <row r="24" spans="2:14" ht="20.100000000000001" customHeight="1" x14ac:dyDescent="0.35"/>
    <row r="25" spans="2:14" ht="20.100000000000001" customHeight="1" x14ac:dyDescent="0.35"/>
  </sheetData>
  <mergeCells count="2">
    <mergeCell ref="B1:O1"/>
    <mergeCell ref="B2:N2"/>
  </mergeCells>
  <pageMargins left="0.7" right="0.7" top="0.75" bottom="0.75" header="0.3" footer="0.3"/>
  <pageSetup scale="72" orientation="landscape"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8"/>
  <sheetViews>
    <sheetView tabSelected="1" topLeftCell="A2" workbookViewId="0">
      <selection activeCell="A28" sqref="A28"/>
    </sheetView>
  </sheetViews>
  <sheetFormatPr defaultColWidth="9.78515625" defaultRowHeight="13.15" x14ac:dyDescent="0.4"/>
  <cols>
    <col min="1" max="1" width="38.5" style="249" bestFit="1" customWidth="1"/>
    <col min="2" max="2" width="1.85546875" style="249" customWidth="1"/>
    <col min="3" max="3" width="7.640625" style="249" bestFit="1" customWidth="1"/>
    <col min="4" max="4" width="5.0703125" style="249" customWidth="1"/>
    <col min="5" max="5" width="6.140625" style="249" customWidth="1"/>
    <col min="6" max="6" width="2" style="249" customWidth="1"/>
    <col min="7" max="7" width="7.640625" style="249" bestFit="1" customWidth="1"/>
    <col min="8" max="8" width="5.0703125" style="249" customWidth="1"/>
    <col min="9" max="9" width="6.140625" style="249" customWidth="1"/>
    <col min="10" max="10" width="2" style="249" customWidth="1"/>
    <col min="11" max="11" width="8.92578125" style="249" bestFit="1" customWidth="1"/>
    <col min="12" max="12" width="5.92578125" style="249" bestFit="1" customWidth="1"/>
    <col min="13" max="13" width="6.140625" style="249" customWidth="1"/>
    <col min="14" max="14" width="1.85546875" style="249" customWidth="1"/>
    <col min="15" max="15" width="9.78515625" style="249" bestFit="1" customWidth="1"/>
    <col min="16" max="16" width="6.140625" style="249" bestFit="1" customWidth="1"/>
    <col min="17" max="17" width="6.140625" style="249" customWidth="1"/>
    <col min="18" max="18" width="1.85546875" style="249" customWidth="1"/>
    <col min="19" max="19" width="9.78515625" style="249" bestFit="1" customWidth="1"/>
    <col min="20" max="20" width="6.140625" style="249" bestFit="1" customWidth="1"/>
    <col min="21" max="21" width="6.140625" style="249" customWidth="1"/>
    <col min="22" max="22" width="1.85546875" style="249" customWidth="1"/>
    <col min="23" max="23" width="9.78515625" style="249" bestFit="1" customWidth="1"/>
    <col min="24" max="24" width="6.140625" style="249" bestFit="1" customWidth="1"/>
    <col min="25" max="25" width="6.140625" style="249" customWidth="1"/>
    <col min="26" max="16384" width="9.78515625" style="249"/>
  </cols>
  <sheetData>
    <row r="1" spans="1:26" ht="22.5" x14ac:dyDescent="0.6">
      <c r="A1" s="248" t="s">
        <v>2894</v>
      </c>
      <c r="B1" s="248"/>
      <c r="C1" s="248"/>
      <c r="D1" s="248"/>
      <c r="E1" s="248"/>
      <c r="F1" s="248"/>
      <c r="G1" s="248"/>
      <c r="H1" s="248"/>
      <c r="I1" s="248"/>
      <c r="J1" s="248"/>
      <c r="K1" s="248"/>
      <c r="L1" s="248"/>
      <c r="M1" s="248"/>
      <c r="N1" s="248"/>
      <c r="O1" s="248"/>
      <c r="P1" s="248"/>
      <c r="Q1" s="248"/>
      <c r="R1" s="248"/>
      <c r="S1" s="248"/>
      <c r="T1" s="248"/>
      <c r="U1" s="248"/>
      <c r="V1" s="248"/>
      <c r="W1" s="248"/>
      <c r="X1" s="248"/>
      <c r="Y1" s="248"/>
    </row>
    <row r="2" spans="1:26" ht="22.5" x14ac:dyDescent="0.6">
      <c r="A2" s="228" t="s">
        <v>2907</v>
      </c>
      <c r="B2" s="228"/>
      <c r="C2" s="228"/>
      <c r="D2" s="228"/>
      <c r="E2" s="228"/>
      <c r="F2" s="228"/>
      <c r="G2" s="228"/>
      <c r="H2" s="228"/>
      <c r="I2" s="228"/>
      <c r="J2" s="228"/>
      <c r="K2" s="228"/>
      <c r="L2" s="228"/>
      <c r="M2" s="228"/>
      <c r="N2" s="228"/>
      <c r="O2" s="228"/>
      <c r="P2" s="228"/>
      <c r="Q2" s="228"/>
      <c r="R2" s="228"/>
      <c r="S2" s="228"/>
      <c r="T2" s="228"/>
      <c r="U2" s="228"/>
      <c r="V2" s="228"/>
      <c r="W2" s="228"/>
      <c r="X2" s="228"/>
      <c r="Y2" s="228"/>
    </row>
    <row r="3" spans="1:26" ht="22.5" x14ac:dyDescent="0.6">
      <c r="A3" s="24" t="s">
        <v>2908</v>
      </c>
      <c r="B3" s="250"/>
      <c r="C3" s="250"/>
      <c r="D3" s="250"/>
      <c r="E3" s="250"/>
      <c r="F3" s="250"/>
      <c r="G3" s="250"/>
      <c r="H3" s="250"/>
      <c r="I3" s="250"/>
      <c r="J3" s="250"/>
      <c r="K3" s="250"/>
      <c r="L3" s="250"/>
      <c r="N3" s="250"/>
      <c r="O3" s="250"/>
      <c r="P3" s="250"/>
      <c r="R3" s="250"/>
      <c r="S3" s="250"/>
      <c r="T3" s="250"/>
      <c r="V3" s="250"/>
      <c r="W3" s="250"/>
      <c r="X3" s="250"/>
    </row>
    <row r="4" spans="1:26" ht="22.9" thickBot="1" x14ac:dyDescent="0.65">
      <c r="A4" s="250"/>
      <c r="B4" s="250"/>
      <c r="C4" s="250"/>
      <c r="D4" s="250"/>
      <c r="E4" s="250"/>
      <c r="G4" s="251"/>
      <c r="H4" s="251"/>
      <c r="I4" s="252"/>
      <c r="K4" s="251"/>
      <c r="L4" s="251"/>
      <c r="O4" s="251"/>
      <c r="P4" s="251"/>
      <c r="S4" s="251"/>
      <c r="T4" s="251"/>
      <c r="W4" s="251"/>
      <c r="X4" s="251"/>
    </row>
    <row r="5" spans="1:26" s="263" customFormat="1" ht="14.25" x14ac:dyDescent="0.45">
      <c r="A5" s="29"/>
      <c r="B5" s="253"/>
      <c r="C5" s="254">
        <v>2017</v>
      </c>
      <c r="D5" s="255" t="s">
        <v>2909</v>
      </c>
      <c r="E5" s="256" t="s">
        <v>2910</v>
      </c>
      <c r="F5" s="257"/>
      <c r="G5" s="254">
        <v>2018</v>
      </c>
      <c r="H5" s="255" t="s">
        <v>2909</v>
      </c>
      <c r="I5" s="256" t="s">
        <v>2910</v>
      </c>
      <c r="J5" s="257"/>
      <c r="K5" s="258">
        <v>2019</v>
      </c>
      <c r="L5" s="259" t="s">
        <v>2909</v>
      </c>
      <c r="M5" s="259" t="s">
        <v>2910</v>
      </c>
      <c r="N5" s="260"/>
      <c r="O5" s="261">
        <v>2019</v>
      </c>
      <c r="P5" s="259" t="s">
        <v>2909</v>
      </c>
      <c r="Q5" s="262" t="s">
        <v>2910</v>
      </c>
      <c r="R5" s="257"/>
      <c r="S5" s="254">
        <v>2020</v>
      </c>
      <c r="T5" s="255" t="s">
        <v>2909</v>
      </c>
      <c r="U5" s="256" t="s">
        <v>2910</v>
      </c>
      <c r="V5" s="257"/>
      <c r="W5" s="254">
        <v>2021</v>
      </c>
      <c r="X5" s="255" t="s">
        <v>2909</v>
      </c>
      <c r="Y5" s="256" t="s">
        <v>2910</v>
      </c>
    </row>
    <row r="6" spans="1:26" s="263" customFormat="1" ht="13.9" x14ac:dyDescent="0.4">
      <c r="A6" s="27"/>
      <c r="B6" s="264"/>
      <c r="C6" s="265" t="s">
        <v>2506</v>
      </c>
      <c r="D6" s="253" t="s">
        <v>2911</v>
      </c>
      <c r="E6" s="266" t="s">
        <v>2911</v>
      </c>
      <c r="F6" s="257"/>
      <c r="G6" s="265" t="s">
        <v>2506</v>
      </c>
      <c r="H6" s="253" t="s">
        <v>2911</v>
      </c>
      <c r="I6" s="266" t="s">
        <v>2911</v>
      </c>
      <c r="J6" s="257"/>
      <c r="K6" s="267" t="s">
        <v>2506</v>
      </c>
      <c r="L6" s="253" t="s">
        <v>2911</v>
      </c>
      <c r="M6" s="253" t="s">
        <v>2911</v>
      </c>
      <c r="N6" s="268"/>
      <c r="O6" s="264" t="s">
        <v>1384</v>
      </c>
      <c r="P6" s="253" t="s">
        <v>2911</v>
      </c>
      <c r="Q6" s="269" t="s">
        <v>2911</v>
      </c>
      <c r="R6" s="257"/>
      <c r="S6" s="265" t="s">
        <v>1384</v>
      </c>
      <c r="T6" s="253" t="s">
        <v>2911</v>
      </c>
      <c r="U6" s="266" t="s">
        <v>2911</v>
      </c>
      <c r="V6" s="257"/>
      <c r="W6" s="265" t="s">
        <v>1384</v>
      </c>
      <c r="X6" s="253" t="s">
        <v>2911</v>
      </c>
      <c r="Y6" s="266" t="s">
        <v>2911</v>
      </c>
    </row>
    <row r="7" spans="1:26" s="263" customFormat="1" ht="13.9" x14ac:dyDescent="0.4">
      <c r="A7" s="27"/>
      <c r="B7" s="264"/>
      <c r="C7" s="270" t="s">
        <v>2912</v>
      </c>
      <c r="D7" s="264"/>
      <c r="E7" s="271"/>
      <c r="F7" s="257"/>
      <c r="G7" s="270" t="s">
        <v>2912</v>
      </c>
      <c r="H7" s="264"/>
      <c r="I7" s="271"/>
      <c r="J7" s="257"/>
      <c r="K7" s="272" t="s">
        <v>2912</v>
      </c>
      <c r="L7" s="264"/>
      <c r="M7" s="257"/>
      <c r="N7" s="268"/>
      <c r="O7" s="273" t="s">
        <v>2912</v>
      </c>
      <c r="P7" s="264"/>
      <c r="Q7" s="274"/>
      <c r="R7" s="257"/>
      <c r="S7" s="270" t="s">
        <v>2912</v>
      </c>
      <c r="T7" s="264"/>
      <c r="U7" s="271"/>
      <c r="V7" s="257"/>
      <c r="W7" s="270" t="s">
        <v>2912</v>
      </c>
      <c r="X7" s="264"/>
      <c r="Y7" s="271"/>
    </row>
    <row r="8" spans="1:26" s="263" customFormat="1" ht="15" x14ac:dyDescent="0.4">
      <c r="A8" s="3" t="s">
        <v>2913</v>
      </c>
      <c r="B8" s="264"/>
      <c r="C8" s="275">
        <v>905</v>
      </c>
      <c r="D8" s="276" t="s">
        <v>2914</v>
      </c>
      <c r="E8" s="277">
        <v>2</v>
      </c>
      <c r="F8" s="257"/>
      <c r="G8" s="275">
        <v>799</v>
      </c>
      <c r="H8" s="278">
        <v>8</v>
      </c>
      <c r="I8" s="277">
        <v>2</v>
      </c>
      <c r="J8" s="257"/>
      <c r="K8" s="279">
        <v>803</v>
      </c>
      <c r="L8" s="280">
        <v>8</v>
      </c>
      <c r="M8" s="280">
        <v>2</v>
      </c>
      <c r="N8" s="268"/>
      <c r="O8" s="281">
        <v>814</v>
      </c>
      <c r="P8" s="282">
        <v>8</v>
      </c>
      <c r="Q8" s="283">
        <v>2</v>
      </c>
      <c r="R8" s="257"/>
      <c r="S8" s="275">
        <v>849</v>
      </c>
      <c r="T8" s="280">
        <v>8</v>
      </c>
      <c r="U8" s="277">
        <v>2</v>
      </c>
      <c r="V8" s="257"/>
      <c r="W8" s="275">
        <v>894</v>
      </c>
      <c r="X8" s="280">
        <v>8</v>
      </c>
      <c r="Y8" s="277">
        <v>2</v>
      </c>
      <c r="Z8" s="270" t="s">
        <v>2943</v>
      </c>
    </row>
    <row r="9" spans="1:26" s="263" customFormat="1" ht="15" x14ac:dyDescent="0.4">
      <c r="A9" s="284" t="s">
        <v>2942</v>
      </c>
      <c r="B9" s="264"/>
      <c r="C9" s="265"/>
      <c r="D9" s="264"/>
      <c r="E9" s="271"/>
      <c r="F9" s="257"/>
      <c r="G9" s="265"/>
      <c r="H9" s="264"/>
      <c r="I9" s="271"/>
      <c r="J9" s="257"/>
      <c r="K9" s="267"/>
      <c r="L9" s="264"/>
      <c r="M9" s="257"/>
      <c r="N9" s="268"/>
      <c r="O9" s="264"/>
      <c r="P9" s="264"/>
      <c r="Q9" s="274"/>
      <c r="R9" s="257"/>
      <c r="S9" s="265"/>
      <c r="T9" s="264"/>
      <c r="U9" s="271"/>
      <c r="V9" s="257"/>
      <c r="W9" s="265"/>
      <c r="X9" s="264"/>
      <c r="Y9" s="271"/>
    </row>
    <row r="10" spans="1:26" s="263" customFormat="1" ht="15" x14ac:dyDescent="0.4">
      <c r="A10" s="284" t="s">
        <v>2915</v>
      </c>
      <c r="B10" s="264"/>
      <c r="C10" s="265"/>
      <c r="D10" s="264"/>
      <c r="E10" s="271"/>
      <c r="F10" s="257"/>
      <c r="G10" s="265"/>
      <c r="H10" s="264"/>
      <c r="I10" s="271"/>
      <c r="J10" s="257"/>
      <c r="K10" s="267"/>
      <c r="L10" s="264"/>
      <c r="M10" s="257"/>
      <c r="N10" s="268"/>
      <c r="O10" s="264"/>
      <c r="P10" s="264"/>
      <c r="Q10" s="274"/>
      <c r="R10" s="257"/>
      <c r="S10" s="265"/>
      <c r="T10" s="264"/>
      <c r="U10" s="271"/>
      <c r="V10" s="257"/>
      <c r="W10" s="265"/>
      <c r="X10" s="264"/>
      <c r="Y10" s="271"/>
    </row>
    <row r="11" spans="1:26" s="263" customFormat="1" ht="15" x14ac:dyDescent="0.4">
      <c r="A11" s="3" t="s">
        <v>2916</v>
      </c>
      <c r="B11" s="264"/>
      <c r="C11" s="285">
        <v>455</v>
      </c>
      <c r="D11" s="280">
        <v>3</v>
      </c>
      <c r="E11" s="277">
        <v>4</v>
      </c>
      <c r="F11" s="257"/>
      <c r="G11" s="285">
        <v>400</v>
      </c>
      <c r="H11" s="280">
        <v>3</v>
      </c>
      <c r="I11" s="277">
        <v>5</v>
      </c>
      <c r="J11" s="257"/>
      <c r="K11" s="286">
        <v>429</v>
      </c>
      <c r="L11" s="280">
        <v>3</v>
      </c>
      <c r="M11" s="280">
        <v>5</v>
      </c>
      <c r="N11" s="268"/>
      <c r="O11" s="287">
        <v>423</v>
      </c>
      <c r="P11" s="280">
        <v>3</v>
      </c>
      <c r="Q11" s="288">
        <v>5</v>
      </c>
      <c r="R11" s="257"/>
      <c r="S11" s="285">
        <v>461</v>
      </c>
      <c r="T11" s="280">
        <v>3</v>
      </c>
      <c r="U11" s="277">
        <v>6</v>
      </c>
      <c r="V11" s="257"/>
      <c r="W11" s="285">
        <v>371</v>
      </c>
      <c r="X11" s="280">
        <v>2</v>
      </c>
      <c r="Y11" s="277">
        <v>5</v>
      </c>
      <c r="Z11" s="270" t="s">
        <v>2944</v>
      </c>
    </row>
    <row r="12" spans="1:26" s="263" customFormat="1" ht="15" x14ac:dyDescent="0.4">
      <c r="A12" s="3" t="s">
        <v>2917</v>
      </c>
      <c r="B12" s="264"/>
      <c r="C12" s="265"/>
      <c r="D12" s="264"/>
      <c r="E12" s="271"/>
      <c r="F12" s="257"/>
      <c r="G12" s="265"/>
      <c r="H12" s="264"/>
      <c r="I12" s="271"/>
      <c r="J12" s="257"/>
      <c r="K12" s="267"/>
      <c r="L12" s="264"/>
      <c r="M12" s="257"/>
      <c r="N12" s="268"/>
      <c r="O12" s="264"/>
      <c r="P12" s="264"/>
      <c r="Q12" s="274"/>
      <c r="R12" s="257"/>
      <c r="S12" s="265"/>
      <c r="T12" s="264"/>
      <c r="U12" s="271"/>
      <c r="V12" s="257"/>
      <c r="W12" s="265"/>
      <c r="X12" s="264"/>
      <c r="Y12" s="271"/>
    </row>
    <row r="13" spans="1:26" s="263" customFormat="1" ht="15" x14ac:dyDescent="0.4">
      <c r="A13" s="3" t="s">
        <v>2918</v>
      </c>
      <c r="B13" s="264"/>
      <c r="C13" s="265"/>
      <c r="D13" s="264"/>
      <c r="E13" s="271"/>
      <c r="F13" s="257"/>
      <c r="G13" s="265"/>
      <c r="H13" s="264"/>
      <c r="I13" s="271"/>
      <c r="J13" s="257"/>
      <c r="K13" s="267"/>
      <c r="L13" s="264"/>
      <c r="M13" s="257"/>
      <c r="N13" s="268"/>
      <c r="O13" s="264"/>
      <c r="P13" s="264"/>
      <c r="Q13" s="274"/>
      <c r="R13" s="257"/>
      <c r="S13" s="265"/>
      <c r="T13" s="264"/>
      <c r="U13" s="271"/>
      <c r="V13" s="257"/>
      <c r="W13" s="265"/>
      <c r="X13" s="264"/>
      <c r="Y13" s="271"/>
    </row>
    <row r="14" spans="1:26" s="263" customFormat="1" ht="15" x14ac:dyDescent="0.4">
      <c r="A14" s="3" t="s">
        <v>2919</v>
      </c>
      <c r="B14" s="257"/>
      <c r="C14" s="289"/>
      <c r="D14" s="257"/>
      <c r="E14" s="271"/>
      <c r="F14" s="257"/>
      <c r="G14" s="289"/>
      <c r="H14" s="257"/>
      <c r="I14" s="271"/>
      <c r="J14" s="257"/>
      <c r="K14" s="290"/>
      <c r="L14" s="257"/>
      <c r="M14" s="257"/>
      <c r="N14" s="268"/>
      <c r="O14" s="257"/>
      <c r="P14" s="257"/>
      <c r="Q14" s="274"/>
      <c r="R14" s="257"/>
      <c r="S14" s="289"/>
      <c r="T14" s="257"/>
      <c r="U14" s="271"/>
      <c r="V14" s="257"/>
      <c r="W14" s="289"/>
      <c r="X14" s="257"/>
      <c r="Y14" s="271"/>
    </row>
    <row r="15" spans="1:26" s="263" customFormat="1" ht="15" x14ac:dyDescent="0.4">
      <c r="A15" s="291" t="s">
        <v>2920</v>
      </c>
      <c r="B15" s="257"/>
      <c r="C15" s="289"/>
      <c r="D15" s="257"/>
      <c r="E15" s="271"/>
      <c r="F15" s="257"/>
      <c r="G15" s="289"/>
      <c r="H15" s="257"/>
      <c r="I15" s="271"/>
      <c r="J15" s="257"/>
      <c r="K15" s="290"/>
      <c r="L15" s="257"/>
      <c r="M15" s="257"/>
      <c r="N15" s="268"/>
      <c r="O15" s="257"/>
      <c r="P15" s="257"/>
      <c r="Q15" s="274"/>
      <c r="R15" s="257"/>
      <c r="S15" s="289"/>
      <c r="T15" s="257"/>
      <c r="U15" s="271"/>
      <c r="V15" s="257"/>
      <c r="W15" s="289"/>
      <c r="X15" s="257"/>
      <c r="Y15" s="271"/>
    </row>
    <row r="16" spans="1:26" s="263" customFormat="1" ht="15" x14ac:dyDescent="0.4">
      <c r="A16" s="3"/>
      <c r="B16" s="264"/>
      <c r="C16" s="265"/>
      <c r="D16" s="264"/>
      <c r="E16" s="271"/>
      <c r="F16" s="257"/>
      <c r="G16" s="265"/>
      <c r="H16" s="264"/>
      <c r="I16" s="271"/>
      <c r="J16" s="257"/>
      <c r="K16" s="267"/>
      <c r="L16" s="264"/>
      <c r="M16" s="257"/>
      <c r="N16" s="268"/>
      <c r="O16" s="264"/>
      <c r="P16" s="264"/>
      <c r="Q16" s="274"/>
      <c r="R16" s="257"/>
      <c r="S16" s="265"/>
      <c r="T16" s="264"/>
      <c r="U16" s="271"/>
      <c r="V16" s="257"/>
      <c r="W16" s="265"/>
      <c r="X16" s="264"/>
      <c r="Y16" s="271"/>
    </row>
    <row r="17" spans="1:25" s="263" customFormat="1" ht="15" x14ac:dyDescent="0.4">
      <c r="A17" s="4"/>
      <c r="B17" s="264"/>
      <c r="C17" s="265"/>
      <c r="D17" s="264"/>
      <c r="E17" s="271"/>
      <c r="F17" s="257"/>
      <c r="G17" s="265"/>
      <c r="H17" s="264"/>
      <c r="I17" s="271"/>
      <c r="J17" s="257"/>
      <c r="K17" s="267"/>
      <c r="L17" s="264"/>
      <c r="M17" s="257"/>
      <c r="N17" s="268"/>
      <c r="O17" s="264"/>
      <c r="P17" s="264"/>
      <c r="Q17" s="274"/>
      <c r="R17" s="257"/>
      <c r="S17" s="265"/>
      <c r="T17" s="264"/>
      <c r="U17" s="271"/>
      <c r="V17" s="257"/>
      <c r="W17" s="265"/>
      <c r="X17" s="264"/>
      <c r="Y17" s="271"/>
    </row>
    <row r="18" spans="1:25" s="263" customFormat="1" ht="15" x14ac:dyDescent="0.4">
      <c r="A18" s="3" t="s">
        <v>2921</v>
      </c>
      <c r="B18" s="280"/>
      <c r="C18" s="275">
        <v>466</v>
      </c>
      <c r="D18" s="280">
        <v>5</v>
      </c>
      <c r="E18" s="277">
        <v>1</v>
      </c>
      <c r="F18" s="257"/>
      <c r="G18" s="275">
        <v>426</v>
      </c>
      <c r="H18" s="280">
        <v>5</v>
      </c>
      <c r="I18" s="277">
        <v>1</v>
      </c>
      <c r="J18" s="257"/>
      <c r="K18" s="279">
        <v>418</v>
      </c>
      <c r="L18" s="280">
        <v>5</v>
      </c>
      <c r="M18" s="280">
        <v>1</v>
      </c>
      <c r="N18" s="268"/>
      <c r="O18" s="281">
        <v>453</v>
      </c>
      <c r="P18" s="280">
        <v>5</v>
      </c>
      <c r="Q18" s="288">
        <v>1</v>
      </c>
      <c r="R18" s="257"/>
      <c r="S18" s="275">
        <v>479</v>
      </c>
      <c r="T18" s="280">
        <v>5</v>
      </c>
      <c r="U18" s="277">
        <v>1</v>
      </c>
      <c r="V18" s="257"/>
      <c r="W18" s="275">
        <v>482</v>
      </c>
      <c r="X18" s="280">
        <v>5</v>
      </c>
      <c r="Y18" s="277">
        <v>1</v>
      </c>
    </row>
    <row r="19" spans="1:25" s="263" customFormat="1" ht="15" x14ac:dyDescent="0.4">
      <c r="A19" s="3" t="s">
        <v>2922</v>
      </c>
      <c r="B19" s="280"/>
      <c r="C19" s="275"/>
      <c r="D19" s="280"/>
      <c r="E19" s="271"/>
      <c r="F19" s="257"/>
      <c r="G19" s="275"/>
      <c r="H19" s="280"/>
      <c r="I19" s="271"/>
      <c r="J19" s="257"/>
      <c r="K19" s="279"/>
      <c r="L19" s="280"/>
      <c r="M19" s="257"/>
      <c r="N19" s="268"/>
      <c r="O19" s="281"/>
      <c r="P19" s="280"/>
      <c r="Q19" s="274"/>
      <c r="R19" s="257"/>
      <c r="S19" s="275"/>
      <c r="T19" s="280"/>
      <c r="U19" s="271"/>
      <c r="V19" s="257"/>
      <c r="W19" s="275"/>
      <c r="X19" s="280"/>
      <c r="Y19" s="271"/>
    </row>
    <row r="20" spans="1:25" s="263" customFormat="1" ht="15" x14ac:dyDescent="0.4">
      <c r="A20" s="3" t="s">
        <v>2923</v>
      </c>
      <c r="B20" s="280"/>
      <c r="C20" s="275"/>
      <c r="D20" s="280"/>
      <c r="E20" s="271"/>
      <c r="F20" s="257"/>
      <c r="G20" s="275"/>
      <c r="H20" s="280"/>
      <c r="I20" s="271"/>
      <c r="J20" s="257"/>
      <c r="K20" s="279"/>
      <c r="L20" s="280"/>
      <c r="M20" s="257"/>
      <c r="N20" s="268"/>
      <c r="O20" s="281"/>
      <c r="P20" s="280"/>
      <c r="Q20" s="274"/>
      <c r="R20" s="257"/>
      <c r="S20" s="275"/>
      <c r="T20" s="280"/>
      <c r="U20" s="271"/>
      <c r="V20" s="257"/>
      <c r="W20" s="275"/>
      <c r="X20" s="280"/>
      <c r="Y20" s="271"/>
    </row>
    <row r="21" spans="1:25" s="263" customFormat="1" ht="15" x14ac:dyDescent="0.4">
      <c r="A21" s="292" t="s">
        <v>2924</v>
      </c>
      <c r="B21" s="280"/>
      <c r="C21" s="275"/>
      <c r="D21" s="280"/>
      <c r="E21" s="271"/>
      <c r="F21" s="257"/>
      <c r="G21" s="275"/>
      <c r="H21" s="280"/>
      <c r="I21" s="271"/>
      <c r="J21" s="257"/>
      <c r="K21" s="279"/>
      <c r="L21" s="280"/>
      <c r="M21" s="257"/>
      <c r="N21" s="268"/>
      <c r="O21" s="281"/>
      <c r="P21" s="280"/>
      <c r="Q21" s="274"/>
      <c r="R21" s="257"/>
      <c r="S21" s="275"/>
      <c r="T21" s="280"/>
      <c r="U21" s="271"/>
      <c r="V21" s="257"/>
      <c r="W21" s="275"/>
      <c r="X21" s="280"/>
      <c r="Y21" s="271"/>
    </row>
    <row r="22" spans="1:25" s="263" customFormat="1" ht="15" x14ac:dyDescent="0.4">
      <c r="A22" s="292"/>
      <c r="B22" s="280"/>
      <c r="C22" s="275"/>
      <c r="D22" s="280"/>
      <c r="E22" s="271"/>
      <c r="F22" s="257"/>
      <c r="G22" s="275"/>
      <c r="H22" s="280"/>
      <c r="I22" s="271"/>
      <c r="J22" s="257"/>
      <c r="K22" s="279"/>
      <c r="L22" s="280"/>
      <c r="M22" s="257"/>
      <c r="N22" s="268"/>
      <c r="O22" s="281"/>
      <c r="P22" s="280"/>
      <c r="Q22" s="274"/>
      <c r="R22" s="257"/>
      <c r="S22" s="275"/>
      <c r="T22" s="280"/>
      <c r="U22" s="271"/>
      <c r="V22" s="257"/>
      <c r="W22" s="275"/>
      <c r="X22" s="280"/>
      <c r="Y22" s="271"/>
    </row>
    <row r="23" spans="1:25" s="263" customFormat="1" ht="15.4" thickBot="1" x14ac:dyDescent="0.45">
      <c r="A23" s="3" t="s">
        <v>2925</v>
      </c>
      <c r="B23" s="293"/>
      <c r="C23" s="294">
        <f>SUM(C8:C18)</f>
        <v>1826</v>
      </c>
      <c r="D23" s="295" t="s">
        <v>2926</v>
      </c>
      <c r="E23" s="296">
        <f>SUM(E8:E18)</f>
        <v>7</v>
      </c>
      <c r="F23" s="297"/>
      <c r="G23" s="294">
        <f>SUM(G8:G18)</f>
        <v>1625</v>
      </c>
      <c r="H23" s="295">
        <v>16</v>
      </c>
      <c r="I23" s="296">
        <f>SUM(I8:I18)</f>
        <v>8</v>
      </c>
      <c r="J23" s="297"/>
      <c r="K23" s="298">
        <f>SUM(K8:K18)</f>
        <v>1650</v>
      </c>
      <c r="L23" s="299">
        <f>SUM(L8:L18)</f>
        <v>16</v>
      </c>
      <c r="M23" s="300">
        <f>SUM(M8:M18)</f>
        <v>8</v>
      </c>
      <c r="N23" s="301"/>
      <c r="O23" s="302">
        <f>SUM(O8:O18)</f>
        <v>1690</v>
      </c>
      <c r="P23" s="300">
        <f>SUM(P8:P18)</f>
        <v>16</v>
      </c>
      <c r="Q23" s="303">
        <f>SUM(Q8:Q18)</f>
        <v>8</v>
      </c>
      <c r="R23" s="297"/>
      <c r="S23" s="294">
        <f>SUM(S8:S18)</f>
        <v>1789</v>
      </c>
      <c r="T23" s="304">
        <f>SUM(T8:T18)</f>
        <v>16</v>
      </c>
      <c r="U23" s="296">
        <f>SUM(U8:U18)</f>
        <v>9</v>
      </c>
      <c r="V23" s="297"/>
      <c r="W23" s="294">
        <f>SUM(W8:W18)</f>
        <v>1747</v>
      </c>
      <c r="X23" s="304">
        <f>SUM(X8:X18)</f>
        <v>15</v>
      </c>
      <c r="Y23" s="296">
        <f>SUM(Y8:Y18)</f>
        <v>8</v>
      </c>
    </row>
    <row r="24" spans="1:25" s="263" customFormat="1" ht="13.9" x14ac:dyDescent="0.4">
      <c r="A24" s="30"/>
      <c r="B24" s="305"/>
      <c r="C24" s="305"/>
      <c r="D24" s="305"/>
      <c r="E24" s="305"/>
      <c r="F24" s="257"/>
      <c r="G24" s="305"/>
      <c r="H24" s="305"/>
      <c r="I24" s="305"/>
      <c r="J24" s="257"/>
      <c r="K24" s="305"/>
      <c r="L24" s="305"/>
      <c r="M24" s="257"/>
      <c r="N24" s="257"/>
      <c r="O24" s="305"/>
      <c r="P24" s="280"/>
      <c r="Q24" s="257"/>
      <c r="R24" s="257"/>
      <c r="S24" s="305"/>
      <c r="T24" s="305"/>
      <c r="U24" s="257"/>
      <c r="V24" s="257"/>
      <c r="W24" s="305"/>
      <c r="X24" s="305"/>
      <c r="Y24" s="257"/>
    </row>
    <row r="25" spans="1:25" s="263" customFormat="1" ht="13.9" x14ac:dyDescent="0.4">
      <c r="A25" s="30"/>
      <c r="B25" s="305"/>
      <c r="C25" s="306"/>
      <c r="D25" s="257"/>
      <c r="E25" s="257"/>
      <c r="G25" s="306"/>
      <c r="H25" s="257"/>
      <c r="I25" s="257"/>
      <c r="K25" s="306"/>
      <c r="L25" s="257"/>
      <c r="O25" s="306"/>
      <c r="P25" s="257"/>
      <c r="S25" s="306"/>
      <c r="T25" s="257"/>
      <c r="W25" s="306"/>
      <c r="X25" s="257"/>
    </row>
    <row r="26" spans="1:25" s="263" customFormat="1" ht="13.9" x14ac:dyDescent="0.4">
      <c r="A26" s="30" t="s">
        <v>2945</v>
      </c>
      <c r="B26" s="305"/>
      <c r="C26" s="307"/>
      <c r="D26" s="257"/>
      <c r="E26" s="257"/>
      <c r="G26" s="307"/>
      <c r="H26" s="257"/>
      <c r="I26" s="257"/>
      <c r="K26" s="307"/>
      <c r="L26" s="257"/>
      <c r="O26" s="307"/>
      <c r="P26" s="257"/>
      <c r="S26" s="307"/>
      <c r="T26" s="257"/>
      <c r="W26" s="307"/>
      <c r="X26" s="257"/>
    </row>
    <row r="27" spans="1:25" s="263" customFormat="1" ht="13.9" x14ac:dyDescent="0.4">
      <c r="A27" s="30"/>
      <c r="B27" s="305"/>
      <c r="C27" s="308"/>
      <c r="G27" s="308"/>
      <c r="K27" s="308"/>
      <c r="O27" s="308"/>
      <c r="S27" s="308"/>
      <c r="W27" s="308"/>
    </row>
    <row r="28" spans="1:25" ht="13.9" x14ac:dyDescent="0.4">
      <c r="A28" s="30" t="s">
        <v>2946</v>
      </c>
    </row>
  </sheetData>
  <mergeCells count="7">
    <mergeCell ref="A1:Y1"/>
    <mergeCell ref="A2:Y2"/>
    <mergeCell ref="G4:H4"/>
    <mergeCell ref="K4:L4"/>
    <mergeCell ref="O4:P4"/>
    <mergeCell ref="S4:T4"/>
    <mergeCell ref="W4:X4"/>
  </mergeCells>
  <pageMargins left="0.7" right="0.7" top="0.75" bottom="0.75" header="0.3" footer="0.3"/>
  <pageSetup scale="71" orientation="landscape"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1"/>
  <sheetViews>
    <sheetView workbookViewId="0">
      <selection sqref="A1:U1"/>
    </sheetView>
  </sheetViews>
  <sheetFormatPr defaultRowHeight="12.4" x14ac:dyDescent="0.35"/>
  <cols>
    <col min="1" max="1" width="20.0703125" customWidth="1"/>
    <col min="2" max="2" width="2.42578125" customWidth="1"/>
    <col min="3" max="3" width="11.5" customWidth="1"/>
    <col min="4" max="4" width="9.35546875" customWidth="1"/>
    <col min="5" max="5" width="14.7109375" customWidth="1"/>
    <col min="6" max="6" width="6.140625" customWidth="1"/>
    <col min="7" max="7" width="11.5" customWidth="1"/>
    <col min="8" max="8" width="9.35546875" customWidth="1"/>
    <col min="9" max="9" width="14.7109375" customWidth="1"/>
    <col min="10" max="10" width="6.140625" customWidth="1"/>
    <col min="11" max="11" width="2.92578125" customWidth="1"/>
    <col min="12" max="12" width="11.5" customWidth="1"/>
    <col min="13" max="13" width="9.35546875" customWidth="1"/>
    <col min="14" max="14" width="14.7109375" customWidth="1"/>
    <col min="15" max="15" width="6.140625" customWidth="1"/>
    <col min="16" max="16" width="11.5" customWidth="1"/>
    <col min="17" max="17" width="9.35546875" customWidth="1"/>
    <col min="18" max="18" width="14.7109375" style="70" customWidth="1"/>
    <col min="19" max="19" width="6.140625" style="70" customWidth="1"/>
    <col min="20" max="20" width="11.5" customWidth="1"/>
    <col min="21" max="21" width="9.35546875" customWidth="1"/>
    <col min="22" max="22" width="14.7109375" style="70" customWidth="1"/>
    <col min="23" max="23" width="6.140625" style="70" customWidth="1"/>
    <col min="24" max="24" width="11.5" customWidth="1"/>
    <col min="25" max="25" width="9.35546875" customWidth="1"/>
    <col min="26" max="26" width="14.7109375" style="70" customWidth="1"/>
    <col min="27" max="27" width="3.2109375" customWidth="1"/>
  </cols>
  <sheetData>
    <row r="1" spans="1:27" ht="39.950000000000003" customHeight="1" x14ac:dyDescent="0.6">
      <c r="A1" s="228" t="s">
        <v>2927</v>
      </c>
      <c r="B1" s="228"/>
      <c r="C1" s="228"/>
      <c r="D1" s="228"/>
      <c r="E1" s="228"/>
      <c r="F1" s="228"/>
      <c r="G1" s="228"/>
      <c r="H1" s="228"/>
      <c r="I1" s="228"/>
      <c r="J1" s="228"/>
      <c r="K1" s="228"/>
      <c r="L1" s="228"/>
      <c r="M1" s="228"/>
      <c r="N1" s="228"/>
      <c r="O1" s="336"/>
      <c r="P1" s="336"/>
      <c r="Q1" s="336"/>
      <c r="R1" s="336"/>
      <c r="S1" s="250"/>
      <c r="T1" s="250"/>
      <c r="U1" s="250"/>
      <c r="V1" s="250"/>
      <c r="W1" s="250"/>
      <c r="X1" s="250"/>
      <c r="Y1" s="250"/>
      <c r="Z1" s="250"/>
      <c r="AA1" s="250"/>
    </row>
    <row r="2" spans="1:27" ht="39.950000000000003" customHeight="1" x14ac:dyDescent="0.6">
      <c r="A2" s="309" t="s">
        <v>2928</v>
      </c>
      <c r="B2" s="309"/>
      <c r="C2" s="309"/>
      <c r="D2" s="309"/>
      <c r="E2" s="309"/>
      <c r="F2" s="309"/>
      <c r="G2" s="309"/>
      <c r="H2" s="309"/>
      <c r="I2" s="309"/>
      <c r="J2" s="309"/>
      <c r="K2" s="309"/>
      <c r="L2" s="309"/>
      <c r="M2" s="309"/>
      <c r="N2" s="309"/>
      <c r="O2" s="337"/>
      <c r="P2" s="337"/>
      <c r="Q2" s="337"/>
      <c r="R2" s="337"/>
      <c r="S2" s="310"/>
      <c r="T2" s="310"/>
      <c r="U2" s="310"/>
      <c r="V2" s="310"/>
      <c r="W2" s="310"/>
      <c r="X2" s="310"/>
      <c r="Y2" s="310"/>
      <c r="Z2" s="310"/>
    </row>
    <row r="3" spans="1:27" ht="39.950000000000003" customHeight="1" x14ac:dyDescent="0.6">
      <c r="A3" s="311" t="s">
        <v>2929</v>
      </c>
      <c r="B3" s="311"/>
      <c r="C3" s="310"/>
      <c r="D3" s="310"/>
      <c r="E3" s="310"/>
      <c r="F3" s="310"/>
      <c r="G3" s="310"/>
      <c r="H3" s="310"/>
      <c r="I3" s="310"/>
      <c r="J3" s="310"/>
      <c r="K3" s="310"/>
      <c r="L3" s="310"/>
      <c r="M3" s="310"/>
      <c r="N3" s="310"/>
      <c r="O3" s="310"/>
      <c r="P3" s="310"/>
      <c r="Q3" s="310"/>
      <c r="R3" s="310"/>
      <c r="S3" s="310"/>
      <c r="T3" s="310"/>
      <c r="U3" s="310"/>
      <c r="V3" s="310"/>
      <c r="W3" s="310"/>
      <c r="X3" s="310"/>
      <c r="Y3" s="310"/>
      <c r="Z3" s="310"/>
    </row>
    <row r="4" spans="1:27" ht="39.950000000000003" customHeight="1" x14ac:dyDescent="0.6">
      <c r="A4" s="312"/>
      <c r="B4" s="312"/>
      <c r="C4" s="313" t="s">
        <v>2930</v>
      </c>
      <c r="D4" s="313"/>
      <c r="E4" s="313"/>
      <c r="F4" s="312"/>
      <c r="G4" s="313" t="s">
        <v>2931</v>
      </c>
      <c r="H4" s="313"/>
      <c r="I4" s="313"/>
      <c r="J4" s="312"/>
      <c r="K4" s="312"/>
      <c r="L4" s="313" t="s">
        <v>2932</v>
      </c>
      <c r="M4" s="313"/>
      <c r="N4" s="313"/>
      <c r="O4" s="312"/>
      <c r="P4" s="313"/>
      <c r="Q4" s="313"/>
      <c r="R4" s="313"/>
      <c r="S4" s="314"/>
      <c r="T4" s="313"/>
      <c r="U4" s="313"/>
      <c r="V4" s="313"/>
      <c r="W4" s="314"/>
      <c r="X4" s="313"/>
      <c r="Y4" s="313"/>
      <c r="Z4" s="313"/>
    </row>
    <row r="5" spans="1:27" ht="35.1" customHeight="1" x14ac:dyDescent="0.4">
      <c r="A5" s="315" t="s">
        <v>2933</v>
      </c>
      <c r="B5" s="315"/>
      <c r="C5" s="316" t="s">
        <v>2934</v>
      </c>
      <c r="D5" s="316" t="s">
        <v>1385</v>
      </c>
      <c r="E5" s="317" t="s">
        <v>2935</v>
      </c>
      <c r="F5" s="315"/>
      <c r="G5" s="316" t="s">
        <v>2934</v>
      </c>
      <c r="H5" s="316" t="s">
        <v>1385</v>
      </c>
      <c r="I5" s="317" t="s">
        <v>2935</v>
      </c>
      <c r="J5" s="315"/>
      <c r="K5" s="315"/>
      <c r="L5" s="316" t="s">
        <v>2934</v>
      </c>
      <c r="M5" s="316" t="s">
        <v>1385</v>
      </c>
      <c r="N5" s="317" t="s">
        <v>2935</v>
      </c>
      <c r="O5" s="315"/>
      <c r="P5" s="316"/>
      <c r="Q5" s="316"/>
      <c r="R5" s="318"/>
      <c r="S5" s="318"/>
      <c r="T5" s="316"/>
      <c r="U5" s="316"/>
      <c r="V5" s="318"/>
      <c r="W5" s="318"/>
      <c r="X5" s="316"/>
      <c r="Y5" s="316"/>
      <c r="Z5" s="318"/>
    </row>
    <row r="6" spans="1:27" ht="20.100000000000001" customHeight="1" x14ac:dyDescent="0.5">
      <c r="A6" s="319"/>
      <c r="B6" s="319"/>
      <c r="C6" s="320"/>
      <c r="D6" s="321"/>
      <c r="E6" s="322"/>
      <c r="F6" s="319"/>
      <c r="G6" s="320"/>
      <c r="H6" s="321"/>
      <c r="I6" s="322"/>
      <c r="J6" s="319"/>
      <c r="K6" s="319"/>
      <c r="L6" s="320"/>
      <c r="M6" s="321"/>
      <c r="N6" s="322"/>
      <c r="O6" s="319"/>
      <c r="P6" s="320"/>
      <c r="Q6" s="320"/>
      <c r="R6" s="322"/>
      <c r="S6" s="322"/>
      <c r="T6" s="320"/>
      <c r="U6" s="320"/>
      <c r="V6" s="322"/>
      <c r="W6" s="322"/>
      <c r="X6" s="320"/>
      <c r="Y6" s="320"/>
      <c r="Z6" s="322"/>
    </row>
    <row r="7" spans="1:27" ht="30" customHeight="1" x14ac:dyDescent="0.4">
      <c r="A7" s="323" t="s">
        <v>2936</v>
      </c>
      <c r="B7" s="323"/>
      <c r="C7" s="324">
        <v>258</v>
      </c>
      <c r="D7" s="315">
        <f>SUM(C7/C11)</f>
        <v>0.63080684596577019</v>
      </c>
      <c r="E7" s="325">
        <v>10758183</v>
      </c>
      <c r="F7" s="323"/>
      <c r="G7" s="324">
        <v>267</v>
      </c>
      <c r="H7" s="315">
        <f>SUM(G7/G11)</f>
        <v>0.65121951219512197</v>
      </c>
      <c r="I7" s="325">
        <v>11572266</v>
      </c>
      <c r="J7" s="323"/>
      <c r="K7" s="323"/>
      <c r="L7" s="324">
        <v>286</v>
      </c>
      <c r="M7" s="315">
        <v>0.69</v>
      </c>
      <c r="N7" s="325">
        <v>12430626</v>
      </c>
      <c r="O7" s="323"/>
      <c r="P7" s="326"/>
      <c r="Q7" s="315"/>
      <c r="R7" s="327"/>
      <c r="S7" s="327"/>
      <c r="T7" s="326"/>
      <c r="U7" s="315"/>
      <c r="V7" s="327"/>
      <c r="W7" s="327"/>
      <c r="X7" s="326"/>
      <c r="Y7" s="315"/>
      <c r="Z7" s="327"/>
    </row>
    <row r="8" spans="1:27" ht="30" customHeight="1" x14ac:dyDescent="0.4">
      <c r="A8" s="326" t="s">
        <v>2937</v>
      </c>
      <c r="B8" s="326"/>
      <c r="C8" s="328">
        <v>97</v>
      </c>
      <c r="D8" s="315">
        <f>SUM(C8/C11)</f>
        <v>0.23716381418092911</v>
      </c>
      <c r="E8" s="329">
        <v>3622852</v>
      </c>
      <c r="F8" s="326"/>
      <c r="G8" s="328">
        <v>89</v>
      </c>
      <c r="H8" s="315">
        <f>SUM(G8/G11)</f>
        <v>0.21707317073170732</v>
      </c>
      <c r="I8" s="329">
        <v>2922708</v>
      </c>
      <c r="J8" s="326"/>
      <c r="K8" s="326"/>
      <c r="L8" s="328">
        <v>89</v>
      </c>
      <c r="M8" s="315">
        <v>0.22</v>
      </c>
      <c r="N8" s="329">
        <v>3317737</v>
      </c>
      <c r="O8" s="326"/>
      <c r="P8" s="326"/>
      <c r="Q8" s="315"/>
      <c r="R8" s="327"/>
      <c r="S8" s="327"/>
      <c r="T8" s="326"/>
      <c r="U8" s="315"/>
      <c r="V8" s="327"/>
      <c r="W8" s="327"/>
      <c r="X8" s="326"/>
      <c r="Y8" s="315"/>
      <c r="Z8" s="327"/>
    </row>
    <row r="9" spans="1:27" ht="30" customHeight="1" x14ac:dyDescent="0.4">
      <c r="A9" s="326" t="s">
        <v>2938</v>
      </c>
      <c r="B9" s="326"/>
      <c r="C9" s="328">
        <v>54</v>
      </c>
      <c r="D9" s="315">
        <f>SUM(C9/C11)</f>
        <v>0.13202933985330073</v>
      </c>
      <c r="E9" s="329">
        <v>331930</v>
      </c>
      <c r="F9" s="326"/>
      <c r="G9" s="328">
        <v>54</v>
      </c>
      <c r="H9" s="315">
        <f>SUM(G9/G11)</f>
        <v>0.13170731707317074</v>
      </c>
      <c r="I9" s="329">
        <v>505165</v>
      </c>
      <c r="J9" s="326"/>
      <c r="K9" s="326"/>
      <c r="L9" s="328">
        <v>38</v>
      </c>
      <c r="M9" s="315">
        <v>0.09</v>
      </c>
      <c r="N9" s="329">
        <v>330418</v>
      </c>
      <c r="O9" s="326"/>
      <c r="P9" s="326"/>
      <c r="Q9" s="315"/>
      <c r="R9" s="327"/>
      <c r="S9" s="330"/>
      <c r="T9" s="326"/>
      <c r="U9" s="315"/>
      <c r="V9" s="327"/>
      <c r="W9" s="330"/>
      <c r="X9" s="326"/>
      <c r="Y9" s="315"/>
      <c r="Z9" s="327"/>
    </row>
    <row r="10" spans="1:27" ht="9.9499999999999993" customHeight="1" x14ac:dyDescent="0.4">
      <c r="A10" s="326"/>
      <c r="B10" s="326"/>
      <c r="C10" s="328"/>
      <c r="D10" s="315"/>
      <c r="E10" s="329"/>
      <c r="F10" s="326"/>
      <c r="G10" s="328"/>
      <c r="H10" s="315"/>
      <c r="I10" s="329"/>
      <c r="J10" s="326"/>
      <c r="K10" s="326"/>
      <c r="L10" s="328"/>
      <c r="M10" s="315"/>
      <c r="N10" s="329"/>
      <c r="O10" s="326"/>
      <c r="P10" s="326"/>
      <c r="Q10" s="315"/>
      <c r="R10" s="327"/>
      <c r="S10" s="330"/>
      <c r="T10" s="326"/>
      <c r="U10" s="315"/>
      <c r="V10" s="327"/>
      <c r="W10" s="330"/>
      <c r="X10" s="326"/>
      <c r="Y10" s="315"/>
      <c r="Z10" s="327"/>
    </row>
    <row r="11" spans="1:27" ht="30" customHeight="1" x14ac:dyDescent="0.4">
      <c r="A11" s="234" t="s">
        <v>740</v>
      </c>
      <c r="B11" s="234"/>
      <c r="C11" s="331">
        <f>SUM(C7+C8+C9)</f>
        <v>409</v>
      </c>
      <c r="D11" s="332">
        <f>SUM(D7+D8+D9)</f>
        <v>1</v>
      </c>
      <c r="E11" s="333">
        <f>SUM(E7:E9)</f>
        <v>14712965</v>
      </c>
      <c r="F11" s="234"/>
      <c r="G11" s="331">
        <f>SUM(G7+G8+G9)</f>
        <v>410</v>
      </c>
      <c r="H11" s="332">
        <f>SUM(H7+H8+H9)</f>
        <v>1</v>
      </c>
      <c r="I11" s="333">
        <f>SUM(I7:I9)</f>
        <v>15000139</v>
      </c>
      <c r="J11" s="234"/>
      <c r="K11" s="234"/>
      <c r="L11" s="331">
        <v>413</v>
      </c>
      <c r="M11" s="332">
        <v>1.0023980815347722</v>
      </c>
      <c r="N11" s="333">
        <v>16078781</v>
      </c>
      <c r="O11" s="234"/>
      <c r="P11" s="234"/>
      <c r="Q11" s="315"/>
      <c r="R11" s="330"/>
      <c r="S11" s="330"/>
      <c r="T11" s="234"/>
      <c r="U11" s="315"/>
      <c r="V11" s="330"/>
      <c r="W11" s="330"/>
      <c r="X11" s="234"/>
      <c r="Y11" s="315"/>
      <c r="Z11" s="330"/>
    </row>
    <row r="12" spans="1:27" ht="30" customHeight="1" x14ac:dyDescent="0.35">
      <c r="E12" s="334"/>
      <c r="I12" s="334"/>
      <c r="N12" s="334"/>
      <c r="R12" s="334"/>
      <c r="S12" s="334"/>
      <c r="V12" s="334"/>
      <c r="W12" s="334"/>
      <c r="Z12" s="334"/>
    </row>
    <row r="13" spans="1:27" ht="30" customHeight="1" x14ac:dyDescent="0.6">
      <c r="A13" s="312"/>
      <c r="B13" s="312"/>
      <c r="C13" s="313" t="s">
        <v>2939</v>
      </c>
      <c r="D13" s="313"/>
      <c r="E13" s="313"/>
      <c r="F13" s="314"/>
      <c r="G13" s="313" t="s">
        <v>2940</v>
      </c>
      <c r="H13" s="313"/>
      <c r="I13" s="313"/>
      <c r="L13" s="313" t="s">
        <v>2941</v>
      </c>
      <c r="M13" s="313"/>
      <c r="N13" s="313"/>
      <c r="R13"/>
      <c r="S13"/>
      <c r="V13"/>
      <c r="W13"/>
      <c r="Z13"/>
    </row>
    <row r="14" spans="1:27" ht="30" customHeight="1" x14ac:dyDescent="0.4">
      <c r="A14" s="315" t="s">
        <v>2933</v>
      </c>
      <c r="B14" s="315"/>
      <c r="C14" s="316" t="s">
        <v>2934</v>
      </c>
      <c r="D14" s="316" t="s">
        <v>1385</v>
      </c>
      <c r="E14" s="317" t="s">
        <v>2935</v>
      </c>
      <c r="F14" s="317"/>
      <c r="G14" s="316" t="s">
        <v>2934</v>
      </c>
      <c r="H14" s="316" t="s">
        <v>1385</v>
      </c>
      <c r="I14" s="317" t="s">
        <v>2935</v>
      </c>
      <c r="L14" s="316" t="s">
        <v>2934</v>
      </c>
      <c r="M14" s="316" t="s">
        <v>1385</v>
      </c>
      <c r="N14" s="317" t="s">
        <v>2935</v>
      </c>
      <c r="R14"/>
      <c r="S14"/>
      <c r="V14"/>
      <c r="W14"/>
      <c r="Z14"/>
    </row>
    <row r="15" spans="1:27" ht="18.75" customHeight="1" x14ac:dyDescent="0.5">
      <c r="A15" s="319"/>
      <c r="B15" s="319"/>
      <c r="C15" s="320"/>
      <c r="D15" s="321"/>
      <c r="E15" s="322"/>
      <c r="F15" s="322"/>
      <c r="G15" s="320"/>
      <c r="H15" s="321"/>
      <c r="I15" s="322"/>
      <c r="L15" s="320"/>
      <c r="M15" s="320"/>
      <c r="N15" s="322"/>
      <c r="R15"/>
      <c r="S15"/>
      <c r="V15"/>
      <c r="W15"/>
      <c r="Z15"/>
    </row>
    <row r="16" spans="1:27" ht="30" customHeight="1" x14ac:dyDescent="0.4">
      <c r="A16" s="323" t="s">
        <v>2936</v>
      </c>
      <c r="B16" s="323"/>
      <c r="C16" s="324">
        <v>285</v>
      </c>
      <c r="D16" s="315">
        <v>0.65947242206235013</v>
      </c>
      <c r="E16" s="325">
        <v>12354163</v>
      </c>
      <c r="F16" s="327"/>
      <c r="G16" s="324">
        <v>275</v>
      </c>
      <c r="H16" s="315">
        <f>SUM(G16/G20)</f>
        <v>0.65947242206235013</v>
      </c>
      <c r="I16" s="325">
        <v>10346728</v>
      </c>
      <c r="L16" s="324">
        <v>277</v>
      </c>
      <c r="M16" s="335">
        <v>0.65</v>
      </c>
      <c r="N16" s="325">
        <v>12468888</v>
      </c>
      <c r="R16"/>
      <c r="S16"/>
      <c r="V16"/>
      <c r="W16"/>
      <c r="Z16"/>
    </row>
    <row r="17" spans="1:26" ht="30" customHeight="1" x14ac:dyDescent="0.4">
      <c r="A17" s="326" t="s">
        <v>2937</v>
      </c>
      <c r="B17" s="326"/>
      <c r="C17" s="328">
        <v>94</v>
      </c>
      <c r="D17" s="315">
        <v>0.25179856115107913</v>
      </c>
      <c r="E17" s="329">
        <v>2805972</v>
      </c>
      <c r="F17" s="327"/>
      <c r="G17" s="328">
        <v>105</v>
      </c>
      <c r="H17" s="315">
        <f>SUM(G17/G20)</f>
        <v>0.25179856115107913</v>
      </c>
      <c r="I17" s="329">
        <v>5281523</v>
      </c>
      <c r="L17" s="328">
        <v>109</v>
      </c>
      <c r="M17" s="315">
        <v>0.26</v>
      </c>
      <c r="N17" s="329">
        <v>3714394</v>
      </c>
      <c r="R17"/>
      <c r="S17"/>
      <c r="V17"/>
      <c r="W17"/>
      <c r="Z17"/>
    </row>
    <row r="18" spans="1:26" ht="30" customHeight="1" x14ac:dyDescent="0.4">
      <c r="A18" s="326" t="s">
        <v>2938</v>
      </c>
      <c r="B18" s="326"/>
      <c r="C18" s="328">
        <v>39</v>
      </c>
      <c r="D18" s="315">
        <v>8.8729016786570747E-2</v>
      </c>
      <c r="E18" s="329">
        <v>363851</v>
      </c>
      <c r="F18" s="330"/>
      <c r="G18" s="328">
        <v>37</v>
      </c>
      <c r="H18" s="315">
        <f>SUM(G18/G20)</f>
        <v>8.8729016786570747E-2</v>
      </c>
      <c r="I18" s="329">
        <v>351667</v>
      </c>
      <c r="L18" s="328">
        <v>40</v>
      </c>
      <c r="M18" s="315">
        <v>0.09</v>
      </c>
      <c r="N18" s="329">
        <v>243712</v>
      </c>
      <c r="R18"/>
      <c r="S18"/>
      <c r="V18"/>
      <c r="W18"/>
      <c r="Z18"/>
    </row>
    <row r="19" spans="1:26" ht="9" customHeight="1" x14ac:dyDescent="0.4">
      <c r="A19" s="326"/>
      <c r="B19" s="326"/>
      <c r="C19" s="328"/>
      <c r="D19" s="315"/>
      <c r="E19" s="329"/>
      <c r="F19" s="330"/>
      <c r="G19" s="328"/>
      <c r="H19" s="315"/>
      <c r="I19" s="329"/>
      <c r="L19" s="328"/>
      <c r="M19" s="315"/>
      <c r="N19" s="329"/>
      <c r="R19"/>
      <c r="S19"/>
      <c r="V19"/>
      <c r="W19"/>
      <c r="Z19"/>
    </row>
    <row r="20" spans="1:26" ht="30" customHeight="1" x14ac:dyDescent="0.4">
      <c r="A20" s="234" t="s">
        <v>740</v>
      </c>
      <c r="B20" s="234"/>
      <c r="C20" s="331">
        <v>418</v>
      </c>
      <c r="D20" s="332">
        <v>1</v>
      </c>
      <c r="E20" s="333">
        <v>15523986</v>
      </c>
      <c r="F20" s="330"/>
      <c r="G20" s="331">
        <v>417</v>
      </c>
      <c r="H20" s="332">
        <v>1</v>
      </c>
      <c r="I20" s="333">
        <v>15979918</v>
      </c>
      <c r="L20" s="331">
        <f>+L16+L17+L18</f>
        <v>426</v>
      </c>
      <c r="M20" s="332">
        <f>+M16+M17+M18</f>
        <v>1</v>
      </c>
      <c r="N20" s="333">
        <f>+N16+N17+N18</f>
        <v>16426994</v>
      </c>
      <c r="R20"/>
      <c r="S20"/>
      <c r="V20"/>
      <c r="W20"/>
      <c r="Z20"/>
    </row>
    <row r="21" spans="1:26" ht="30" customHeight="1" x14ac:dyDescent="0.35"/>
  </sheetData>
  <mergeCells count="11">
    <mergeCell ref="T4:V4"/>
    <mergeCell ref="X4:Z4"/>
    <mergeCell ref="C13:E13"/>
    <mergeCell ref="G13:I13"/>
    <mergeCell ref="L13:N13"/>
    <mergeCell ref="A1:N1"/>
    <mergeCell ref="A2:N2"/>
    <mergeCell ref="C4:E4"/>
    <mergeCell ref="G4:I4"/>
    <mergeCell ref="L4:N4"/>
    <mergeCell ref="P4:R4"/>
  </mergeCells>
  <pageMargins left="0.7" right="0.7" top="0.75" bottom="0.75" header="0.3" footer="0.3"/>
  <pageSetup scale="86"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5"/>
  <sheetViews>
    <sheetView workbookViewId="0">
      <selection activeCell="E24" sqref="E24"/>
    </sheetView>
  </sheetViews>
  <sheetFormatPr defaultRowHeight="12.4" x14ac:dyDescent="0.35"/>
  <cols>
    <col min="1" max="1" width="49.140625" customWidth="1"/>
    <col min="2" max="2" width="12.85546875" bestFit="1" customWidth="1"/>
    <col min="3" max="6" width="16.140625" bestFit="1" customWidth="1"/>
  </cols>
  <sheetData>
    <row r="2" spans="1:9" ht="15" x14ac:dyDescent="0.4">
      <c r="A2" s="3" t="s">
        <v>471</v>
      </c>
      <c r="B2" s="4"/>
      <c r="C2" s="4"/>
      <c r="D2" s="4"/>
      <c r="E2" s="4"/>
      <c r="F2" s="4"/>
      <c r="G2" s="4"/>
      <c r="H2" s="4"/>
      <c r="I2" s="4"/>
    </row>
    <row r="3" spans="1:9" ht="15" x14ac:dyDescent="0.4">
      <c r="A3" s="4"/>
      <c r="B3" s="4"/>
      <c r="C3" s="4"/>
      <c r="D3" s="4"/>
      <c r="E3" s="4"/>
      <c r="F3" s="4"/>
      <c r="G3" s="4"/>
      <c r="H3" s="4"/>
      <c r="I3" s="4"/>
    </row>
    <row r="4" spans="1:9" ht="15" x14ac:dyDescent="0.4">
      <c r="A4" s="4"/>
      <c r="B4" s="6">
        <v>2000</v>
      </c>
      <c r="C4" s="6">
        <v>2001</v>
      </c>
      <c r="D4" s="6">
        <v>2002</v>
      </c>
      <c r="E4" s="6">
        <v>2003</v>
      </c>
      <c r="F4" s="6">
        <v>2004</v>
      </c>
      <c r="G4" s="4"/>
      <c r="H4" s="4"/>
      <c r="I4" s="4"/>
    </row>
    <row r="5" spans="1:9" ht="15" x14ac:dyDescent="0.4">
      <c r="A5" s="4"/>
      <c r="B5" s="4"/>
      <c r="C5" s="4"/>
      <c r="D5" s="4"/>
      <c r="E5" s="4"/>
      <c r="F5" s="4"/>
      <c r="G5" s="4"/>
      <c r="H5" s="4"/>
      <c r="I5" s="4"/>
    </row>
    <row r="6" spans="1:9" ht="15" x14ac:dyDescent="0.4">
      <c r="A6" s="3" t="s">
        <v>1865</v>
      </c>
      <c r="B6" s="7">
        <v>3319000</v>
      </c>
      <c r="C6" s="7">
        <v>3491668</v>
      </c>
      <c r="D6" s="7">
        <v>3347550</v>
      </c>
      <c r="E6" s="7">
        <v>3384435</v>
      </c>
      <c r="F6" s="7">
        <v>3424451.15</v>
      </c>
      <c r="G6" s="7"/>
      <c r="H6" s="7"/>
      <c r="I6" s="7"/>
    </row>
    <row r="7" spans="1:9" ht="15" x14ac:dyDescent="0.4">
      <c r="A7" s="36" t="s">
        <v>1381</v>
      </c>
      <c r="B7" s="7"/>
      <c r="C7" s="7">
        <f>+C6-B6</f>
        <v>172668</v>
      </c>
      <c r="D7" s="7">
        <f>+D6-C6</f>
        <v>-144118</v>
      </c>
      <c r="E7" s="7">
        <f>+E6-D6</f>
        <v>36885</v>
      </c>
      <c r="F7" s="7">
        <f>+F6-E6</f>
        <v>40016.149999999907</v>
      </c>
      <c r="G7" s="7"/>
      <c r="H7" s="7"/>
      <c r="I7" s="7"/>
    </row>
    <row r="8" spans="1:9" ht="15" x14ac:dyDescent="0.4">
      <c r="A8" s="36" t="s">
        <v>1385</v>
      </c>
      <c r="B8" s="7"/>
      <c r="C8" s="38">
        <f>+C7/B6</f>
        <v>5.202410364567641E-2</v>
      </c>
      <c r="D8" s="38">
        <f>+D7/C6</f>
        <v>-4.1274829107463828E-2</v>
      </c>
      <c r="E8" s="38">
        <f>+E7/D6</f>
        <v>1.1018506071604607E-2</v>
      </c>
      <c r="F8" s="38">
        <f>+F7/E6</f>
        <v>1.182358355235066E-2</v>
      </c>
      <c r="G8" s="7"/>
      <c r="H8" s="7"/>
      <c r="I8" s="7"/>
    </row>
    <row r="9" spans="1:9" ht="15" x14ac:dyDescent="0.4">
      <c r="A9" s="3"/>
      <c r="B9" s="7"/>
      <c r="C9" s="7"/>
      <c r="D9" s="7"/>
      <c r="E9" s="7"/>
      <c r="F9" s="7"/>
      <c r="G9" s="7"/>
      <c r="H9" s="7"/>
      <c r="I9" s="7"/>
    </row>
    <row r="10" spans="1:9" ht="15" x14ac:dyDescent="0.4">
      <c r="A10" s="3" t="s">
        <v>831</v>
      </c>
      <c r="B10" s="7">
        <v>3282000</v>
      </c>
      <c r="C10" s="7">
        <v>3598080</v>
      </c>
      <c r="D10" s="7">
        <v>3482874</v>
      </c>
      <c r="E10" s="7">
        <v>3381490</v>
      </c>
      <c r="F10" s="7">
        <v>3380450</v>
      </c>
      <c r="G10" s="7"/>
      <c r="H10" s="7"/>
      <c r="I10" s="7"/>
    </row>
    <row r="11" spans="1:9" ht="15" x14ac:dyDescent="0.4">
      <c r="A11" s="36" t="s">
        <v>1381</v>
      </c>
      <c r="B11" s="7"/>
      <c r="C11" s="7">
        <f>+C10-B10</f>
        <v>316080</v>
      </c>
      <c r="D11" s="7">
        <f>+D10-C10</f>
        <v>-115206</v>
      </c>
      <c r="E11" s="7">
        <f>+E10-D10</f>
        <v>-101384</v>
      </c>
      <c r="F11" s="7">
        <f>+F10-E10</f>
        <v>-1040</v>
      </c>
      <c r="G11" s="7"/>
      <c r="H11" s="7"/>
      <c r="I11" s="7"/>
    </row>
    <row r="12" spans="1:9" ht="15" x14ac:dyDescent="0.4">
      <c r="A12" s="36" t="s">
        <v>1385</v>
      </c>
      <c r="B12" s="7"/>
      <c r="C12" s="38">
        <f>+C11/B10</f>
        <v>9.6307129798903102E-2</v>
      </c>
      <c r="D12" s="38">
        <f>+D11/C10</f>
        <v>-3.2018743329775883E-2</v>
      </c>
      <c r="E12" s="38">
        <f>+E11/D10</f>
        <v>-2.9109293072330494E-2</v>
      </c>
      <c r="F12" s="38">
        <f>+F11/E10</f>
        <v>-3.0755672795128774E-4</v>
      </c>
      <c r="G12" s="7"/>
      <c r="H12" s="7"/>
      <c r="I12" s="7"/>
    </row>
    <row r="13" spans="1:9" ht="15" x14ac:dyDescent="0.4">
      <c r="A13" s="3"/>
      <c r="B13" s="7"/>
      <c r="C13" s="7"/>
      <c r="D13" s="7"/>
      <c r="E13" s="7"/>
      <c r="F13" s="7"/>
      <c r="G13" s="7"/>
      <c r="H13" s="7"/>
      <c r="I13" s="7"/>
    </row>
    <row r="14" spans="1:9" ht="15" x14ac:dyDescent="0.4">
      <c r="A14" s="3" t="s">
        <v>472</v>
      </c>
      <c r="B14" s="7">
        <v>37000</v>
      </c>
      <c r="C14" s="7">
        <v>-106412</v>
      </c>
      <c r="D14" s="7">
        <v>-135324</v>
      </c>
      <c r="E14" s="7">
        <v>2945</v>
      </c>
      <c r="F14" s="7">
        <v>44001.149999999907</v>
      </c>
      <c r="G14" s="7"/>
      <c r="H14" s="7"/>
      <c r="I14" s="7"/>
    </row>
    <row r="15" spans="1:9" ht="15" x14ac:dyDescent="0.4">
      <c r="A15" s="3"/>
      <c r="B15" s="7"/>
      <c r="C15" s="7"/>
      <c r="D15" s="7"/>
      <c r="E15" s="7"/>
      <c r="F15" s="7"/>
      <c r="G15" s="7"/>
      <c r="H15" s="7"/>
      <c r="I15" s="7"/>
    </row>
    <row r="16" spans="1:9" ht="15" x14ac:dyDescent="0.4">
      <c r="A16" s="3" t="s">
        <v>473</v>
      </c>
      <c r="B16" s="7">
        <v>3372000</v>
      </c>
      <c r="C16" s="7">
        <v>3675011</v>
      </c>
      <c r="D16" s="7">
        <v>3515000</v>
      </c>
      <c r="E16" s="7">
        <v>3362500</v>
      </c>
      <c r="F16" s="7">
        <v>3500000</v>
      </c>
      <c r="G16" s="7"/>
      <c r="H16" s="7"/>
      <c r="I16" s="7"/>
    </row>
    <row r="17" spans="1:9" ht="15" x14ac:dyDescent="0.4">
      <c r="A17" s="36" t="s">
        <v>1381</v>
      </c>
      <c r="B17" s="7"/>
      <c r="C17" s="7">
        <f>+C16-B16</f>
        <v>303011</v>
      </c>
      <c r="D17" s="7">
        <f>+D16-C16</f>
        <v>-160011</v>
      </c>
      <c r="E17" s="7">
        <f>+E16-D16</f>
        <v>-152500</v>
      </c>
      <c r="F17" s="7">
        <f>+F16-E16</f>
        <v>137500</v>
      </c>
      <c r="G17" s="7"/>
      <c r="H17" s="7"/>
      <c r="I17" s="7"/>
    </row>
    <row r="18" spans="1:9" ht="15" x14ac:dyDescent="0.4">
      <c r="A18" s="36" t="s">
        <v>1385</v>
      </c>
      <c r="B18" s="7"/>
      <c r="C18" s="38">
        <f>+C17/B16</f>
        <v>8.9860913404507706E-2</v>
      </c>
      <c r="D18" s="38">
        <f>+D17/C16</f>
        <v>-4.3540277838624158E-2</v>
      </c>
      <c r="E18" s="38">
        <f>+E17/D16</f>
        <v>-4.3385490753911807E-2</v>
      </c>
      <c r="F18" s="38">
        <f>+F17/E16</f>
        <v>4.0892193308550186E-2</v>
      </c>
      <c r="G18" s="7"/>
      <c r="H18" s="7"/>
      <c r="I18" s="7"/>
    </row>
    <row r="19" spans="1:9" ht="15" x14ac:dyDescent="0.4">
      <c r="A19" s="3"/>
      <c r="B19" s="7"/>
      <c r="C19" s="7"/>
      <c r="D19" s="7"/>
      <c r="E19" s="7"/>
      <c r="F19" s="7"/>
      <c r="G19" s="7"/>
      <c r="H19" s="7"/>
      <c r="I19" s="7"/>
    </row>
    <row r="20" spans="1:9" ht="15" x14ac:dyDescent="0.4">
      <c r="A20" s="4"/>
      <c r="B20" s="6">
        <v>2005</v>
      </c>
      <c r="C20" s="6">
        <v>2006</v>
      </c>
      <c r="D20" s="6">
        <v>2007</v>
      </c>
      <c r="E20" s="6">
        <v>2008</v>
      </c>
      <c r="F20" s="6"/>
      <c r="G20" s="7"/>
      <c r="H20" s="7"/>
      <c r="I20" s="7"/>
    </row>
    <row r="21" spans="1:9" ht="15" x14ac:dyDescent="0.4">
      <c r="A21" s="4"/>
      <c r="B21" s="4"/>
      <c r="C21" s="4"/>
      <c r="D21" s="4"/>
      <c r="E21" s="4"/>
      <c r="F21" s="4"/>
      <c r="G21" s="7"/>
      <c r="H21" s="7"/>
      <c r="I21" s="7"/>
    </row>
    <row r="22" spans="1:9" ht="15" x14ac:dyDescent="0.4">
      <c r="A22" s="3" t="s">
        <v>1865</v>
      </c>
      <c r="B22" s="7">
        <v>3390881</v>
      </c>
      <c r="C22" s="7">
        <f>3378734+150000</f>
        <v>3528734</v>
      </c>
      <c r="D22" s="7">
        <v>3621488</v>
      </c>
      <c r="E22" s="7"/>
      <c r="F22" s="7"/>
      <c r="G22" s="7"/>
      <c r="H22" s="7"/>
      <c r="I22" s="7"/>
    </row>
    <row r="23" spans="1:9" ht="15" x14ac:dyDescent="0.4">
      <c r="A23" s="36" t="s">
        <v>1381</v>
      </c>
      <c r="B23" s="7">
        <f>+B22-F6</f>
        <v>-33570.149999999907</v>
      </c>
      <c r="C23" s="7">
        <f>+C22-B22</f>
        <v>137853</v>
      </c>
      <c r="D23" s="7">
        <f>+D22-C22</f>
        <v>92754</v>
      </c>
      <c r="E23" s="7"/>
      <c r="F23" s="7"/>
      <c r="G23" s="7"/>
      <c r="H23" s="7"/>
      <c r="I23" s="7"/>
    </row>
    <row r="24" spans="1:9" ht="15" x14ac:dyDescent="0.4">
      <c r="A24" s="36" t="s">
        <v>1385</v>
      </c>
      <c r="B24" s="38">
        <f>+B23/F6</f>
        <v>-9.8030745744467421E-3</v>
      </c>
      <c r="C24" s="38">
        <f>+C23/B22</f>
        <v>4.0654036517353456E-2</v>
      </c>
      <c r="D24" s="38">
        <f>+D23/C22</f>
        <v>2.6285347662929538E-2</v>
      </c>
      <c r="E24" s="37"/>
      <c r="F24" s="37"/>
      <c r="G24" s="7"/>
      <c r="H24" s="7"/>
      <c r="I24" s="7"/>
    </row>
    <row r="25" spans="1:9" ht="15" x14ac:dyDescent="0.4">
      <c r="A25" s="3"/>
      <c r="B25" s="7"/>
      <c r="C25" s="7"/>
      <c r="D25" s="7"/>
      <c r="E25" s="7"/>
      <c r="F25" s="7"/>
      <c r="G25" s="7"/>
      <c r="H25" s="7"/>
      <c r="I25" s="7"/>
    </row>
    <row r="26" spans="1:9" ht="15" x14ac:dyDescent="0.4">
      <c r="A26" s="3" t="s">
        <v>831</v>
      </c>
      <c r="B26" s="7">
        <v>3384592</v>
      </c>
      <c r="C26" s="7">
        <v>3525437</v>
      </c>
      <c r="D26" s="7"/>
      <c r="E26" s="7"/>
      <c r="F26" s="7"/>
      <c r="G26" s="7"/>
      <c r="H26" s="7"/>
      <c r="I26" s="7"/>
    </row>
    <row r="27" spans="1:9" ht="15" x14ac:dyDescent="0.4">
      <c r="A27" s="36" t="s">
        <v>1381</v>
      </c>
      <c r="B27" s="7">
        <f>+B26-F10</f>
        <v>4142</v>
      </c>
      <c r="C27" s="7">
        <f>+C26-B26</f>
        <v>140845</v>
      </c>
      <c r="D27" s="7"/>
      <c r="E27" s="7"/>
      <c r="F27" s="7"/>
      <c r="G27" s="7"/>
      <c r="H27" s="7"/>
      <c r="I27" s="7"/>
    </row>
    <row r="28" spans="1:9" ht="15" x14ac:dyDescent="0.4">
      <c r="A28" s="36" t="s">
        <v>1385</v>
      </c>
      <c r="B28" s="38">
        <f>+B27/F10</f>
        <v>1.2252806579005754E-3</v>
      </c>
      <c r="C28" s="38">
        <f>+C27/B26</f>
        <v>4.161358296657322E-2</v>
      </c>
      <c r="D28" s="37"/>
      <c r="E28" s="37"/>
      <c r="F28" s="37"/>
      <c r="G28" s="10"/>
      <c r="H28" s="10"/>
      <c r="I28" s="10"/>
    </row>
    <row r="29" spans="1:9" ht="15" x14ac:dyDescent="0.4">
      <c r="A29" s="3"/>
      <c r="B29" s="7"/>
      <c r="C29" s="7"/>
      <c r="D29" s="7"/>
      <c r="E29" s="7"/>
      <c r="F29" s="7"/>
      <c r="G29" s="10"/>
      <c r="H29" s="10"/>
      <c r="I29" s="10"/>
    </row>
    <row r="30" spans="1:9" ht="15" x14ac:dyDescent="0.4">
      <c r="A30" s="3" t="s">
        <v>472</v>
      </c>
      <c r="B30" s="7">
        <f>+B22-B26</f>
        <v>6289</v>
      </c>
      <c r="C30" s="7">
        <f>+C22-C26</f>
        <v>3297</v>
      </c>
      <c r="D30" s="7"/>
      <c r="E30" s="7"/>
      <c r="F30" s="7"/>
      <c r="G30" s="10"/>
      <c r="H30" s="10"/>
      <c r="I30" s="10"/>
    </row>
    <row r="31" spans="1:9" ht="15" x14ac:dyDescent="0.4">
      <c r="A31" s="3"/>
      <c r="B31" s="7"/>
      <c r="C31" s="7"/>
      <c r="D31" s="7"/>
      <c r="E31" s="7"/>
      <c r="F31" s="7"/>
      <c r="G31" s="10"/>
      <c r="H31" s="10"/>
      <c r="I31" s="10"/>
    </row>
    <row r="32" spans="1:9" ht="15" x14ac:dyDescent="0.4">
      <c r="A32" s="3" t="s">
        <v>473</v>
      </c>
      <c r="B32" s="7">
        <v>3579999.75</v>
      </c>
      <c r="C32" s="7">
        <v>3717342</v>
      </c>
      <c r="D32" s="7">
        <v>3761426</v>
      </c>
      <c r="E32" s="7">
        <v>3862722</v>
      </c>
      <c r="F32" s="7"/>
      <c r="G32" s="10"/>
      <c r="H32" s="10"/>
      <c r="I32" s="10"/>
    </row>
    <row r="33" spans="1:9" ht="15" x14ac:dyDescent="0.4">
      <c r="A33" s="36" t="s">
        <v>1381</v>
      </c>
      <c r="B33" s="7">
        <f>+B32-F16</f>
        <v>79999.75</v>
      </c>
      <c r="C33" s="7">
        <f>+C32-B32</f>
        <v>137342.25</v>
      </c>
      <c r="D33" s="7">
        <f>+D32-C32</f>
        <v>44084</v>
      </c>
      <c r="E33" s="7">
        <f>+E32-D32</f>
        <v>101296</v>
      </c>
      <c r="F33" s="10"/>
      <c r="G33" s="10"/>
      <c r="H33" s="10"/>
      <c r="I33" s="10"/>
    </row>
    <row r="34" spans="1:9" ht="15" x14ac:dyDescent="0.4">
      <c r="A34" s="36" t="s">
        <v>1385</v>
      </c>
      <c r="B34" s="38">
        <f>+B33/F16</f>
        <v>2.2857071428571428E-2</v>
      </c>
      <c r="C34" s="38">
        <f>+C33/B32</f>
        <v>3.8363759662273719E-2</v>
      </c>
      <c r="D34" s="38">
        <f>+D33/C32</f>
        <v>1.185901108910614E-2</v>
      </c>
      <c r="E34" s="38">
        <f>+E33/D32</f>
        <v>2.6930212105727987E-2</v>
      </c>
      <c r="F34" s="10"/>
      <c r="G34" s="10"/>
      <c r="H34" s="10"/>
      <c r="I34" s="10"/>
    </row>
    <row r="35" spans="1:9" x14ac:dyDescent="0.35">
      <c r="B35" s="10"/>
      <c r="C35" s="10"/>
      <c r="D35" s="10"/>
      <c r="E35" s="10"/>
      <c r="F35" s="10"/>
      <c r="G35" s="10"/>
      <c r="H35" s="10"/>
      <c r="I35" s="10"/>
    </row>
  </sheetData>
  <phoneticPr fontId="0" type="noConversion"/>
  <pageMargins left="0.9" right="0.31" top="0.51" bottom="0.78" header="0.3"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4"/>
  <sheetViews>
    <sheetView workbookViewId="0">
      <selection activeCell="F17" sqref="F17"/>
    </sheetView>
  </sheetViews>
  <sheetFormatPr defaultRowHeight="12.4" x14ac:dyDescent="0.35"/>
  <cols>
    <col min="2" max="2" width="13.140625" customWidth="1"/>
    <col min="3" max="3" width="25.7109375" customWidth="1"/>
    <col min="4" max="4" width="21.7109375" customWidth="1"/>
    <col min="5" max="5" width="12.140625" customWidth="1"/>
    <col min="6" max="6" width="11.85546875" customWidth="1"/>
    <col min="7" max="7" width="28.85546875" customWidth="1"/>
  </cols>
  <sheetData>
    <row r="1" spans="1:8" x14ac:dyDescent="0.35">
      <c r="C1" s="31" t="s">
        <v>1411</v>
      </c>
      <c r="D1" s="32">
        <v>2007</v>
      </c>
      <c r="E1" s="32">
        <v>2008</v>
      </c>
      <c r="F1" s="32">
        <v>2009</v>
      </c>
      <c r="G1" s="33" t="s">
        <v>1412</v>
      </c>
      <c r="H1" s="33" t="s">
        <v>1413</v>
      </c>
    </row>
    <row r="2" spans="1:8" x14ac:dyDescent="0.35">
      <c r="A2">
        <v>1</v>
      </c>
      <c r="B2" s="33" t="s">
        <v>2580</v>
      </c>
      <c r="C2" s="33" t="s">
        <v>1417</v>
      </c>
      <c r="D2" s="35">
        <v>129459</v>
      </c>
      <c r="E2" s="35">
        <f>+D2*0.03+D2</f>
        <v>133342.76999999999</v>
      </c>
      <c r="F2" s="35">
        <f>+E2*0.03+E2</f>
        <v>137343.05309999999</v>
      </c>
      <c r="G2" s="33" t="s">
        <v>1418</v>
      </c>
      <c r="H2" s="33" t="s">
        <v>1419</v>
      </c>
    </row>
    <row r="3" spans="1:8" x14ac:dyDescent="0.35">
      <c r="A3">
        <v>2</v>
      </c>
      <c r="B3" s="33" t="s">
        <v>2584</v>
      </c>
      <c r="C3" s="33" t="s">
        <v>1414</v>
      </c>
      <c r="D3" s="35">
        <v>126605</v>
      </c>
      <c r="E3" s="35">
        <f t="shared" ref="E3:F21" si="0">+D3*0.03+D3</f>
        <v>130403.15</v>
      </c>
      <c r="F3" s="35">
        <f t="shared" si="0"/>
        <v>134315.2445</v>
      </c>
      <c r="G3" s="33" t="s">
        <v>1415</v>
      </c>
      <c r="H3" s="33" t="s">
        <v>1416</v>
      </c>
    </row>
    <row r="4" spans="1:8" x14ac:dyDescent="0.35">
      <c r="A4">
        <v>3</v>
      </c>
      <c r="B4" s="33" t="s">
        <v>2584</v>
      </c>
      <c r="C4" s="33" t="s">
        <v>1420</v>
      </c>
      <c r="D4" s="35">
        <v>105693</v>
      </c>
      <c r="E4" s="35">
        <f t="shared" si="0"/>
        <v>108863.79</v>
      </c>
      <c r="F4" s="35">
        <f t="shared" si="0"/>
        <v>112129.7037</v>
      </c>
      <c r="G4" s="33" t="s">
        <v>1421</v>
      </c>
      <c r="H4" s="33" t="s">
        <v>1422</v>
      </c>
    </row>
    <row r="5" spans="1:8" x14ac:dyDescent="0.35">
      <c r="A5">
        <v>4</v>
      </c>
      <c r="B5" s="33" t="s">
        <v>2580</v>
      </c>
      <c r="C5" s="33" t="s">
        <v>1429</v>
      </c>
      <c r="D5" s="35">
        <v>95000</v>
      </c>
      <c r="E5" s="35">
        <f t="shared" si="0"/>
        <v>97850</v>
      </c>
      <c r="F5" s="35">
        <f t="shared" si="0"/>
        <v>100785.5</v>
      </c>
      <c r="G5" s="33" t="s">
        <v>1430</v>
      </c>
      <c r="H5" s="33" t="s">
        <v>1431</v>
      </c>
    </row>
    <row r="6" spans="1:8" x14ac:dyDescent="0.35">
      <c r="A6">
        <v>5</v>
      </c>
      <c r="B6" s="33" t="s">
        <v>2580</v>
      </c>
      <c r="C6" s="33" t="s">
        <v>1426</v>
      </c>
      <c r="D6" s="35">
        <v>94250</v>
      </c>
      <c r="E6" s="35">
        <f t="shared" si="0"/>
        <v>97077.5</v>
      </c>
      <c r="F6" s="35">
        <f t="shared" si="0"/>
        <v>99989.824999999997</v>
      </c>
      <c r="G6" s="33" t="s">
        <v>1427</v>
      </c>
      <c r="H6" s="33" t="s">
        <v>1428</v>
      </c>
    </row>
    <row r="7" spans="1:8" x14ac:dyDescent="0.35">
      <c r="A7">
        <v>6</v>
      </c>
      <c r="B7" s="33" t="s">
        <v>2580</v>
      </c>
      <c r="C7" s="33" t="s">
        <v>1432</v>
      </c>
      <c r="D7" s="35">
        <v>93196</v>
      </c>
      <c r="E7" s="35">
        <f t="shared" si="0"/>
        <v>95991.88</v>
      </c>
      <c r="F7" s="35">
        <f t="shared" si="0"/>
        <v>98871.636400000003</v>
      </c>
      <c r="G7" s="33" t="s">
        <v>1433</v>
      </c>
      <c r="H7" s="33" t="s">
        <v>1434</v>
      </c>
    </row>
    <row r="8" spans="1:8" x14ac:dyDescent="0.35">
      <c r="A8">
        <v>7</v>
      </c>
      <c r="B8" s="33" t="s">
        <v>2580</v>
      </c>
      <c r="C8" s="33" t="s">
        <v>1423</v>
      </c>
      <c r="D8" s="35">
        <v>92700</v>
      </c>
      <c r="E8" s="35">
        <f t="shared" si="0"/>
        <v>95481</v>
      </c>
      <c r="F8" s="35">
        <f t="shared" si="0"/>
        <v>98345.43</v>
      </c>
      <c r="G8" s="33" t="s">
        <v>1424</v>
      </c>
      <c r="H8" s="33" t="s">
        <v>1425</v>
      </c>
    </row>
    <row r="9" spans="1:8" x14ac:dyDescent="0.35">
      <c r="A9">
        <v>8</v>
      </c>
      <c r="B9" s="33" t="s">
        <v>2580</v>
      </c>
      <c r="C9" s="33" t="s">
        <v>1435</v>
      </c>
      <c r="D9" s="35">
        <v>91875</v>
      </c>
      <c r="E9" s="35">
        <f t="shared" si="0"/>
        <v>94631.25</v>
      </c>
      <c r="F9" s="35">
        <f t="shared" si="0"/>
        <v>97470.1875</v>
      </c>
      <c r="G9" s="33" t="s">
        <v>1436</v>
      </c>
      <c r="H9" s="33" t="s">
        <v>1437</v>
      </c>
    </row>
    <row r="10" spans="1:8" x14ac:dyDescent="0.35">
      <c r="A10">
        <v>9</v>
      </c>
      <c r="B10" s="33" t="s">
        <v>2580</v>
      </c>
      <c r="C10" s="33" t="s">
        <v>1441</v>
      </c>
      <c r="D10" s="35">
        <v>91669</v>
      </c>
      <c r="E10" s="35">
        <f t="shared" si="0"/>
        <v>94419.07</v>
      </c>
      <c r="F10" s="35">
        <f t="shared" si="0"/>
        <v>97251.642100000012</v>
      </c>
      <c r="G10" s="33" t="s">
        <v>1442</v>
      </c>
      <c r="H10" s="33" t="s">
        <v>1443</v>
      </c>
    </row>
    <row r="11" spans="1:8" x14ac:dyDescent="0.35">
      <c r="A11">
        <v>10</v>
      </c>
      <c r="B11" s="33" t="s">
        <v>2580</v>
      </c>
      <c r="C11" s="33" t="s">
        <v>1447</v>
      </c>
      <c r="D11" s="35">
        <v>91232</v>
      </c>
      <c r="E11" s="35">
        <f t="shared" si="0"/>
        <v>93968.960000000006</v>
      </c>
      <c r="F11" s="35">
        <f t="shared" si="0"/>
        <v>96788.0288</v>
      </c>
      <c r="G11" s="33" t="s">
        <v>1448</v>
      </c>
      <c r="H11" s="33" t="s">
        <v>1449</v>
      </c>
    </row>
    <row r="12" spans="1:8" x14ac:dyDescent="0.35">
      <c r="A12">
        <v>11</v>
      </c>
      <c r="B12" s="33" t="s">
        <v>2580</v>
      </c>
      <c r="C12" s="33" t="s">
        <v>1457</v>
      </c>
      <c r="D12" s="35">
        <v>90825</v>
      </c>
      <c r="E12" s="35">
        <f t="shared" si="0"/>
        <v>93549.75</v>
      </c>
      <c r="F12" s="35">
        <f t="shared" si="0"/>
        <v>96356.242499999993</v>
      </c>
      <c r="G12" s="33" t="s">
        <v>1453</v>
      </c>
      <c r="H12" s="33" t="s">
        <v>1454</v>
      </c>
    </row>
    <row r="13" spans="1:8" x14ac:dyDescent="0.35">
      <c r="A13">
        <v>12</v>
      </c>
      <c r="B13" s="33" t="s">
        <v>2580</v>
      </c>
      <c r="C13" s="33" t="s">
        <v>1438</v>
      </c>
      <c r="D13" s="35">
        <v>90584</v>
      </c>
      <c r="E13" s="35">
        <f t="shared" si="0"/>
        <v>93301.52</v>
      </c>
      <c r="F13" s="35">
        <f t="shared" si="0"/>
        <v>96100.565600000002</v>
      </c>
      <c r="G13" s="33" t="s">
        <v>1439</v>
      </c>
      <c r="H13" s="33" t="s">
        <v>1440</v>
      </c>
    </row>
    <row r="14" spans="1:8" x14ac:dyDescent="0.35">
      <c r="A14">
        <v>13</v>
      </c>
      <c r="B14" s="33" t="s">
        <v>2580</v>
      </c>
      <c r="C14" s="33" t="s">
        <v>1461</v>
      </c>
      <c r="D14" s="35">
        <v>89588</v>
      </c>
      <c r="E14" s="35">
        <f t="shared" si="0"/>
        <v>92275.64</v>
      </c>
      <c r="F14" s="35">
        <f t="shared" si="0"/>
        <v>95043.909199999995</v>
      </c>
      <c r="G14" s="33" t="s">
        <v>1418</v>
      </c>
      <c r="H14" s="33" t="s">
        <v>1419</v>
      </c>
    </row>
    <row r="15" spans="1:8" x14ac:dyDescent="0.35">
      <c r="A15">
        <v>14</v>
      </c>
      <c r="B15" s="33" t="s">
        <v>2580</v>
      </c>
      <c r="C15" s="33" t="s">
        <v>1444</v>
      </c>
      <c r="D15" s="35">
        <v>89101</v>
      </c>
      <c r="E15" s="35">
        <f t="shared" si="0"/>
        <v>91774.03</v>
      </c>
      <c r="F15" s="35">
        <f t="shared" si="0"/>
        <v>94527.250899999999</v>
      </c>
      <c r="G15" s="33" t="s">
        <v>1445</v>
      </c>
      <c r="H15" s="33" t="s">
        <v>1446</v>
      </c>
    </row>
    <row r="16" spans="1:8" x14ac:dyDescent="0.35">
      <c r="A16">
        <v>15</v>
      </c>
      <c r="B16" s="33"/>
      <c r="C16" s="39" t="s">
        <v>1389</v>
      </c>
      <c r="D16" s="40">
        <v>88939</v>
      </c>
      <c r="E16" s="40">
        <f>+D16*5.5/100+D16</f>
        <v>93830.645000000004</v>
      </c>
      <c r="F16" s="40">
        <f>+E16*5.5/100+E16</f>
        <v>98991.33047500001</v>
      </c>
    </row>
    <row r="17" spans="1:8" x14ac:dyDescent="0.35">
      <c r="A17">
        <v>16</v>
      </c>
      <c r="B17" s="33" t="s">
        <v>2584</v>
      </c>
      <c r="C17" s="33" t="s">
        <v>1450</v>
      </c>
      <c r="D17" s="35">
        <v>87091</v>
      </c>
      <c r="E17" s="35">
        <f t="shared" si="0"/>
        <v>89703.73</v>
      </c>
      <c r="F17" s="35">
        <f>+E17*0.03+E17</f>
        <v>92394.841899999999</v>
      </c>
      <c r="G17" s="33" t="s">
        <v>1451</v>
      </c>
      <c r="H17" s="33" t="s">
        <v>1452</v>
      </c>
    </row>
    <row r="18" spans="1:8" x14ac:dyDescent="0.35">
      <c r="A18">
        <v>17</v>
      </c>
      <c r="B18" s="33" t="s">
        <v>2580</v>
      </c>
      <c r="C18" s="33" t="s">
        <v>1458</v>
      </c>
      <c r="D18" s="35">
        <v>84689</v>
      </c>
      <c r="E18" s="35">
        <f t="shared" si="0"/>
        <v>87229.67</v>
      </c>
      <c r="F18" s="35">
        <f>+E18*0.03+E18</f>
        <v>89846.560100000002</v>
      </c>
      <c r="G18" s="33" t="s">
        <v>1459</v>
      </c>
      <c r="H18" s="33" t="s">
        <v>1460</v>
      </c>
    </row>
    <row r="19" spans="1:8" x14ac:dyDescent="0.35">
      <c r="A19">
        <v>18</v>
      </c>
      <c r="B19" s="33" t="s">
        <v>2584</v>
      </c>
      <c r="C19" s="33" t="s">
        <v>1465</v>
      </c>
      <c r="D19" s="35">
        <v>83888</v>
      </c>
      <c r="E19" s="35">
        <f t="shared" si="0"/>
        <v>86404.64</v>
      </c>
      <c r="F19" s="35">
        <f>+E19*0.03+E19</f>
        <v>88996.779200000004</v>
      </c>
      <c r="G19" s="33" t="s">
        <v>1466</v>
      </c>
      <c r="H19" s="33" t="s">
        <v>1467</v>
      </c>
    </row>
    <row r="20" spans="1:8" x14ac:dyDescent="0.35">
      <c r="A20">
        <v>19</v>
      </c>
      <c r="B20" s="33" t="s">
        <v>2580</v>
      </c>
      <c r="C20" s="33" t="s">
        <v>1474</v>
      </c>
      <c r="D20" s="35">
        <v>82810</v>
      </c>
      <c r="E20" s="35">
        <f t="shared" si="0"/>
        <v>85294.3</v>
      </c>
      <c r="F20" s="35">
        <f>+E20*0.03+E20</f>
        <v>87853.129000000001</v>
      </c>
      <c r="G20" s="33" t="s">
        <v>1475</v>
      </c>
      <c r="H20" s="33" t="s">
        <v>1476</v>
      </c>
    </row>
    <row r="21" spans="1:8" x14ac:dyDescent="0.35">
      <c r="A21">
        <v>20</v>
      </c>
      <c r="B21" s="33" t="s">
        <v>2580</v>
      </c>
      <c r="C21" s="33" t="s">
        <v>1477</v>
      </c>
      <c r="D21" s="35">
        <v>81885</v>
      </c>
      <c r="E21" s="35">
        <f t="shared" si="0"/>
        <v>84341.55</v>
      </c>
      <c r="F21" s="35">
        <f>+E21*0.03+E21</f>
        <v>86871.796499999997</v>
      </c>
      <c r="G21" s="33" t="s">
        <v>1478</v>
      </c>
      <c r="H21" s="33" t="s">
        <v>1479</v>
      </c>
    </row>
    <row r="22" spans="1:8" x14ac:dyDescent="0.35">
      <c r="G22" s="33" t="s">
        <v>1463</v>
      </c>
      <c r="H22" s="33" t="s">
        <v>1464</v>
      </c>
    </row>
    <row r="23" spans="1:8" x14ac:dyDescent="0.35">
      <c r="B23" s="33" t="s">
        <v>2580</v>
      </c>
      <c r="C23" s="33" t="s">
        <v>1462</v>
      </c>
      <c r="D23" s="35">
        <v>81331</v>
      </c>
      <c r="E23" s="35">
        <f>+D23*0.05+D23</f>
        <v>85397.55</v>
      </c>
      <c r="F23" s="35">
        <f>+E23*0.05+E23</f>
        <v>89667.427500000005</v>
      </c>
      <c r="G23" s="33"/>
      <c r="H23" s="33"/>
    </row>
    <row r="24" spans="1:8" x14ac:dyDescent="0.35">
      <c r="B24" s="33" t="s">
        <v>2580</v>
      </c>
      <c r="C24" s="33" t="s">
        <v>1480</v>
      </c>
      <c r="D24" s="35">
        <v>81176</v>
      </c>
      <c r="E24" s="35"/>
      <c r="F24" s="35"/>
      <c r="G24" s="33" t="s">
        <v>1481</v>
      </c>
      <c r="H24" s="33" t="s">
        <v>1482</v>
      </c>
    </row>
    <row r="25" spans="1:8" x14ac:dyDescent="0.35">
      <c r="B25" s="33" t="s">
        <v>2580</v>
      </c>
      <c r="C25" s="33" t="s">
        <v>1498</v>
      </c>
      <c r="D25" s="35">
        <v>80430</v>
      </c>
      <c r="E25" s="34"/>
      <c r="F25" s="34"/>
      <c r="G25" s="33" t="s">
        <v>1499</v>
      </c>
      <c r="H25" s="33" t="s">
        <v>1500</v>
      </c>
    </row>
    <row r="26" spans="1:8" x14ac:dyDescent="0.35">
      <c r="B26" s="33" t="s">
        <v>2580</v>
      </c>
      <c r="C26" s="33" t="s">
        <v>1468</v>
      </c>
      <c r="D26" s="35">
        <v>80425</v>
      </c>
      <c r="E26" s="35"/>
      <c r="F26" s="35"/>
      <c r="G26" s="33" t="s">
        <v>1469</v>
      </c>
      <c r="H26" s="33" t="s">
        <v>1470</v>
      </c>
    </row>
    <row r="27" spans="1:8" x14ac:dyDescent="0.35">
      <c r="B27" s="33" t="s">
        <v>2580</v>
      </c>
      <c r="C27" s="33" t="s">
        <v>1492</v>
      </c>
      <c r="D27" s="35">
        <v>79820</v>
      </c>
      <c r="E27" s="35"/>
      <c r="F27" s="35"/>
      <c r="G27" s="33" t="s">
        <v>1493</v>
      </c>
      <c r="H27" s="33" t="s">
        <v>1494</v>
      </c>
    </row>
    <row r="28" spans="1:8" x14ac:dyDescent="0.35">
      <c r="B28" s="33" t="s">
        <v>2584</v>
      </c>
      <c r="C28" s="33" t="s">
        <v>1471</v>
      </c>
      <c r="D28" s="35">
        <v>79000</v>
      </c>
      <c r="E28" s="35"/>
      <c r="F28" s="35"/>
      <c r="G28" s="33" t="s">
        <v>1472</v>
      </c>
      <c r="H28" s="33" t="s">
        <v>1473</v>
      </c>
    </row>
    <row r="29" spans="1:8" x14ac:dyDescent="0.35">
      <c r="B29" s="33" t="s">
        <v>2580</v>
      </c>
      <c r="C29" s="33" t="s">
        <v>1545</v>
      </c>
      <c r="D29" s="35">
        <v>78614</v>
      </c>
      <c r="E29" s="35"/>
      <c r="F29" s="35"/>
      <c r="G29" s="33" t="s">
        <v>1483</v>
      </c>
      <c r="H29" s="33" t="s">
        <v>1484</v>
      </c>
    </row>
    <row r="30" spans="1:8" x14ac:dyDescent="0.35">
      <c r="B30" s="33" t="s">
        <v>2580</v>
      </c>
      <c r="C30" s="33" t="s">
        <v>1489</v>
      </c>
      <c r="D30" s="35">
        <v>78375</v>
      </c>
      <c r="E30" s="35"/>
      <c r="F30" s="35"/>
      <c r="G30" s="33" t="s">
        <v>1490</v>
      </c>
      <c r="H30" s="33" t="s">
        <v>1491</v>
      </c>
    </row>
    <row r="31" spans="1:8" x14ac:dyDescent="0.35">
      <c r="B31" s="33" t="s">
        <v>2580</v>
      </c>
      <c r="C31" s="33" t="s">
        <v>1485</v>
      </c>
      <c r="D31" s="35">
        <v>77724</v>
      </c>
      <c r="E31" s="35"/>
      <c r="F31" s="35"/>
      <c r="G31" s="33" t="s">
        <v>1486</v>
      </c>
      <c r="H31" s="33" t="s">
        <v>1487</v>
      </c>
    </row>
    <row r="32" spans="1:8" x14ac:dyDescent="0.35">
      <c r="B32" s="33" t="s">
        <v>2580</v>
      </c>
      <c r="C32" s="33" t="s">
        <v>1504</v>
      </c>
      <c r="D32" s="35">
        <v>77500</v>
      </c>
      <c r="E32" s="35"/>
      <c r="F32" s="35"/>
      <c r="G32" s="33" t="s">
        <v>1505</v>
      </c>
      <c r="H32" s="33" t="s">
        <v>1506</v>
      </c>
    </row>
    <row r="33" spans="2:8" x14ac:dyDescent="0.35">
      <c r="B33" s="33" t="s">
        <v>2580</v>
      </c>
      <c r="C33" s="33" t="s">
        <v>1495</v>
      </c>
      <c r="D33" s="35">
        <v>77366</v>
      </c>
      <c r="E33" s="35"/>
      <c r="F33" s="35"/>
      <c r="G33" s="33" t="s">
        <v>1496</v>
      </c>
      <c r="H33" s="33" t="s">
        <v>1497</v>
      </c>
    </row>
    <row r="34" spans="2:8" x14ac:dyDescent="0.35">
      <c r="B34" s="33" t="s">
        <v>2580</v>
      </c>
      <c r="C34" s="33" t="s">
        <v>1524</v>
      </c>
      <c r="D34" s="35">
        <v>77282</v>
      </c>
      <c r="E34" s="35"/>
      <c r="F34" s="35"/>
      <c r="G34" s="33" t="s">
        <v>1525</v>
      </c>
      <c r="H34" s="33" t="s">
        <v>1526</v>
      </c>
    </row>
    <row r="35" spans="2:8" x14ac:dyDescent="0.35">
      <c r="B35" s="33" t="s">
        <v>2580</v>
      </c>
      <c r="C35" s="33" t="s">
        <v>1488</v>
      </c>
      <c r="D35" s="35">
        <v>76875</v>
      </c>
      <c r="E35" s="35"/>
      <c r="F35" s="35"/>
      <c r="G35" s="33" t="s">
        <v>1415</v>
      </c>
      <c r="H35" s="33" t="s">
        <v>1416</v>
      </c>
    </row>
    <row r="36" spans="2:8" x14ac:dyDescent="0.35">
      <c r="B36" s="33" t="s">
        <v>2580</v>
      </c>
      <c r="C36" s="33" t="s">
        <v>1513</v>
      </c>
      <c r="D36" s="35">
        <v>76841</v>
      </c>
      <c r="E36" s="35"/>
      <c r="F36" s="35"/>
      <c r="G36" s="33" t="s">
        <v>1514</v>
      </c>
      <c r="H36" s="33" t="s">
        <v>1515</v>
      </c>
    </row>
    <row r="37" spans="2:8" x14ac:dyDescent="0.35">
      <c r="B37" s="33" t="s">
        <v>2580</v>
      </c>
      <c r="C37" s="33" t="s">
        <v>610</v>
      </c>
      <c r="D37" s="35">
        <v>76833</v>
      </c>
      <c r="E37" s="35"/>
      <c r="F37" s="35"/>
      <c r="G37" s="33" t="s">
        <v>611</v>
      </c>
      <c r="H37" s="33" t="s">
        <v>612</v>
      </c>
    </row>
    <row r="38" spans="2:8" x14ac:dyDescent="0.35">
      <c r="B38" s="33" t="s">
        <v>2580</v>
      </c>
      <c r="C38" s="33" t="s">
        <v>1518</v>
      </c>
      <c r="D38" s="35">
        <v>75304</v>
      </c>
      <c r="E38" s="34"/>
      <c r="F38" s="34"/>
      <c r="G38" s="33" t="s">
        <v>1519</v>
      </c>
      <c r="H38" s="33" t="s">
        <v>1520</v>
      </c>
    </row>
    <row r="39" spans="2:8" x14ac:dyDescent="0.35">
      <c r="B39" s="33" t="s">
        <v>2580</v>
      </c>
      <c r="C39" s="33" t="s">
        <v>1507</v>
      </c>
      <c r="D39" s="35">
        <v>75249</v>
      </c>
      <c r="E39" s="35"/>
      <c r="F39" s="35"/>
      <c r="G39" s="33" t="s">
        <v>1508</v>
      </c>
      <c r="H39" s="33" t="s">
        <v>1509</v>
      </c>
    </row>
    <row r="40" spans="2:8" x14ac:dyDescent="0.35">
      <c r="B40" s="33" t="s">
        <v>2584</v>
      </c>
      <c r="C40" s="33" t="s">
        <v>1548</v>
      </c>
      <c r="D40" s="35">
        <v>75191</v>
      </c>
      <c r="E40" s="35"/>
      <c r="F40" s="35"/>
      <c r="G40" s="33" t="s">
        <v>1549</v>
      </c>
      <c r="H40" s="33" t="s">
        <v>1550</v>
      </c>
    </row>
    <row r="41" spans="2:8" x14ac:dyDescent="0.35">
      <c r="B41" s="33" t="s">
        <v>2580</v>
      </c>
      <c r="C41" s="33" t="s">
        <v>1510</v>
      </c>
      <c r="D41" s="35">
        <v>73974</v>
      </c>
      <c r="E41" s="35"/>
      <c r="F41" s="35"/>
      <c r="G41" s="33" t="s">
        <v>1511</v>
      </c>
      <c r="H41" s="33" t="s">
        <v>1512</v>
      </c>
    </row>
    <row r="42" spans="2:8" x14ac:dyDescent="0.35">
      <c r="B42" s="33" t="s">
        <v>2580</v>
      </c>
      <c r="C42" s="33" t="s">
        <v>1615</v>
      </c>
      <c r="D42" s="35">
        <v>73700</v>
      </c>
      <c r="E42" s="35"/>
      <c r="F42" s="35"/>
      <c r="G42" s="33" t="s">
        <v>1516</v>
      </c>
      <c r="H42" s="33" t="s">
        <v>1517</v>
      </c>
    </row>
    <row r="43" spans="2:8" x14ac:dyDescent="0.35">
      <c r="B43" s="33" t="s">
        <v>2580</v>
      </c>
      <c r="C43" s="33" t="s">
        <v>1501</v>
      </c>
      <c r="D43" s="35">
        <v>73685</v>
      </c>
      <c r="E43" s="35"/>
      <c r="F43" s="35"/>
      <c r="G43" s="33" t="s">
        <v>1502</v>
      </c>
      <c r="H43" s="33" t="s">
        <v>1503</v>
      </c>
    </row>
    <row r="44" spans="2:8" x14ac:dyDescent="0.35">
      <c r="B44" s="33" t="s">
        <v>2580</v>
      </c>
      <c r="C44" s="33" t="s">
        <v>1521</v>
      </c>
      <c r="D44" s="35">
        <v>72934</v>
      </c>
      <c r="E44" s="35"/>
      <c r="F44" s="35"/>
      <c r="G44" s="33" t="s">
        <v>1522</v>
      </c>
      <c r="H44" s="33" t="s">
        <v>1523</v>
      </c>
    </row>
    <row r="45" spans="2:8" x14ac:dyDescent="0.35">
      <c r="B45" s="33" t="s">
        <v>2580</v>
      </c>
      <c r="C45" s="33" t="s">
        <v>2585</v>
      </c>
      <c r="D45" s="35">
        <v>72398</v>
      </c>
      <c r="E45" s="35"/>
      <c r="F45" s="35"/>
      <c r="G45" s="33" t="s">
        <v>2586</v>
      </c>
      <c r="H45" s="33" t="s">
        <v>2587</v>
      </c>
    </row>
    <row r="46" spans="2:8" x14ac:dyDescent="0.35">
      <c r="B46" s="33" t="s">
        <v>2580</v>
      </c>
      <c r="C46" s="33" t="s">
        <v>1530</v>
      </c>
      <c r="D46" s="35">
        <v>71698</v>
      </c>
      <c r="E46" s="35"/>
      <c r="F46" s="35"/>
      <c r="G46" s="33" t="s">
        <v>1531</v>
      </c>
      <c r="H46" s="33" t="s">
        <v>1532</v>
      </c>
    </row>
    <row r="47" spans="2:8" x14ac:dyDescent="0.35">
      <c r="B47" s="33" t="s">
        <v>2580</v>
      </c>
      <c r="C47" s="33" t="s">
        <v>1587</v>
      </c>
      <c r="D47" s="35">
        <v>71653</v>
      </c>
      <c r="E47" s="35"/>
      <c r="F47" s="35"/>
      <c r="G47" s="33" t="s">
        <v>1588</v>
      </c>
      <c r="H47" s="33" t="s">
        <v>1589</v>
      </c>
    </row>
    <row r="48" spans="2:8" x14ac:dyDescent="0.35">
      <c r="B48" s="33" t="s">
        <v>2580</v>
      </c>
      <c r="C48" s="33" t="s">
        <v>1527</v>
      </c>
      <c r="D48" s="35">
        <v>71378</v>
      </c>
      <c r="E48" s="35"/>
      <c r="F48" s="35"/>
      <c r="G48" s="33" t="s">
        <v>1528</v>
      </c>
      <c r="H48" s="33" t="s">
        <v>1529</v>
      </c>
    </row>
    <row r="49" spans="2:8" x14ac:dyDescent="0.35">
      <c r="B49" s="33" t="s">
        <v>2580</v>
      </c>
      <c r="C49" s="33" t="s">
        <v>1536</v>
      </c>
      <c r="D49" s="35">
        <v>71346</v>
      </c>
      <c r="E49" s="35"/>
      <c r="F49" s="35"/>
      <c r="G49" s="33" t="s">
        <v>1537</v>
      </c>
      <c r="H49" s="33" t="s">
        <v>1538</v>
      </c>
    </row>
    <row r="50" spans="2:8" x14ac:dyDescent="0.35">
      <c r="B50" s="33" t="s">
        <v>2580</v>
      </c>
      <c r="C50" s="33" t="s">
        <v>1533</v>
      </c>
      <c r="D50" s="35">
        <v>71031</v>
      </c>
      <c r="E50" s="35"/>
      <c r="F50" s="35"/>
      <c r="G50" s="33" t="s">
        <v>1534</v>
      </c>
      <c r="H50" s="33" t="s">
        <v>1535</v>
      </c>
    </row>
    <row r="51" spans="2:8" x14ac:dyDescent="0.35">
      <c r="B51" s="33" t="s">
        <v>2580</v>
      </c>
      <c r="C51" s="33" t="s">
        <v>1557</v>
      </c>
      <c r="D51" s="35">
        <v>70590</v>
      </c>
      <c r="E51" s="35"/>
      <c r="F51" s="35"/>
      <c r="G51" s="33" t="s">
        <v>1558</v>
      </c>
      <c r="H51" s="33" t="s">
        <v>1559</v>
      </c>
    </row>
    <row r="52" spans="2:8" x14ac:dyDescent="0.35">
      <c r="B52" s="33" t="s">
        <v>2580</v>
      </c>
      <c r="C52" s="33" t="s">
        <v>1560</v>
      </c>
      <c r="D52" s="35">
        <v>70000</v>
      </c>
      <c r="E52" s="35"/>
      <c r="F52" s="35"/>
      <c r="G52" s="33" t="s">
        <v>1561</v>
      </c>
      <c r="H52" s="33" t="s">
        <v>1562</v>
      </c>
    </row>
    <row r="53" spans="2:8" x14ac:dyDescent="0.35">
      <c r="B53" s="33" t="s">
        <v>2580</v>
      </c>
      <c r="C53" s="33" t="s">
        <v>1572</v>
      </c>
      <c r="D53" s="35">
        <v>69909</v>
      </c>
      <c r="E53" s="35"/>
      <c r="F53" s="35"/>
      <c r="G53" s="33" t="s">
        <v>1573</v>
      </c>
      <c r="H53" s="33" t="s">
        <v>1574</v>
      </c>
    </row>
    <row r="54" spans="2:8" x14ac:dyDescent="0.35">
      <c r="B54" s="33" t="s">
        <v>2580</v>
      </c>
      <c r="C54" s="33" t="s">
        <v>1566</v>
      </c>
      <c r="D54" s="35">
        <v>69320</v>
      </c>
      <c r="E54" s="35"/>
      <c r="F54" s="35"/>
      <c r="G54" s="33" t="s">
        <v>1567</v>
      </c>
      <c r="H54" s="33" t="s">
        <v>1568</v>
      </c>
    </row>
    <row r="55" spans="2:8" x14ac:dyDescent="0.35">
      <c r="B55" s="33" t="s">
        <v>2584</v>
      </c>
      <c r="C55" s="33" t="s">
        <v>1584</v>
      </c>
      <c r="D55" s="35">
        <v>69184</v>
      </c>
      <c r="E55" s="35"/>
      <c r="F55" s="35"/>
      <c r="G55" s="33" t="s">
        <v>1585</v>
      </c>
      <c r="H55" s="33" t="s">
        <v>1586</v>
      </c>
    </row>
    <row r="56" spans="2:8" x14ac:dyDescent="0.35">
      <c r="B56" s="33" t="s">
        <v>2580</v>
      </c>
      <c r="C56" s="33" t="s">
        <v>1554</v>
      </c>
      <c r="D56" s="35">
        <v>68250</v>
      </c>
      <c r="E56" s="35"/>
      <c r="F56" s="35"/>
      <c r="G56" s="33" t="s">
        <v>1555</v>
      </c>
      <c r="H56" s="33" t="s">
        <v>1556</v>
      </c>
    </row>
    <row r="57" spans="2:8" x14ac:dyDescent="0.35">
      <c r="B57" s="33" t="s">
        <v>2580</v>
      </c>
      <c r="C57" s="33" t="s">
        <v>1539</v>
      </c>
      <c r="D57" s="35">
        <v>68054</v>
      </c>
      <c r="E57" s="35"/>
      <c r="F57" s="35"/>
      <c r="G57" s="33" t="s">
        <v>1540</v>
      </c>
      <c r="H57" s="33" t="s">
        <v>1541</v>
      </c>
    </row>
    <row r="58" spans="2:8" x14ac:dyDescent="0.35">
      <c r="B58" s="33" t="s">
        <v>2584</v>
      </c>
      <c r="C58" s="33" t="s">
        <v>1542</v>
      </c>
      <c r="D58" s="35">
        <v>67980</v>
      </c>
      <c r="E58" s="35"/>
      <c r="F58" s="35"/>
      <c r="G58" s="33" t="s">
        <v>1543</v>
      </c>
      <c r="H58" s="33" t="s">
        <v>1544</v>
      </c>
    </row>
    <row r="59" spans="2:8" x14ac:dyDescent="0.35">
      <c r="B59" s="33" t="s">
        <v>2580</v>
      </c>
      <c r="C59" s="33" t="s">
        <v>1581</v>
      </c>
      <c r="D59" s="35">
        <v>67839</v>
      </c>
      <c r="E59" s="35"/>
      <c r="F59" s="35"/>
      <c r="G59" s="33" t="s">
        <v>1582</v>
      </c>
      <c r="H59" s="33" t="s">
        <v>1583</v>
      </c>
    </row>
    <row r="60" spans="2:8" x14ac:dyDescent="0.35">
      <c r="B60" s="33" t="s">
        <v>2580</v>
      </c>
      <c r="C60" s="33" t="s">
        <v>1605</v>
      </c>
      <c r="D60" s="35">
        <v>67623</v>
      </c>
      <c r="E60" s="35"/>
      <c r="F60" s="35"/>
      <c r="G60" s="33" t="s">
        <v>1606</v>
      </c>
      <c r="H60" s="33" t="s">
        <v>1607</v>
      </c>
    </row>
    <row r="61" spans="2:8" x14ac:dyDescent="0.35">
      <c r="B61" s="33" t="s">
        <v>2580</v>
      </c>
      <c r="C61" s="33" t="s">
        <v>1551</v>
      </c>
      <c r="D61" s="35">
        <v>67444</v>
      </c>
      <c r="E61" s="35"/>
      <c r="F61" s="35"/>
      <c r="G61" s="33" t="s">
        <v>1552</v>
      </c>
      <c r="H61" s="33" t="s">
        <v>1553</v>
      </c>
    </row>
    <row r="62" spans="2:8" x14ac:dyDescent="0.35">
      <c r="B62" s="33" t="s">
        <v>2580</v>
      </c>
      <c r="C62" s="33" t="s">
        <v>1569</v>
      </c>
      <c r="D62" s="35">
        <v>67257</v>
      </c>
      <c r="E62" s="35"/>
      <c r="F62" s="35"/>
      <c r="G62" s="33" t="s">
        <v>1570</v>
      </c>
      <c r="H62" s="33" t="s">
        <v>1571</v>
      </c>
    </row>
    <row r="63" spans="2:8" x14ac:dyDescent="0.35">
      <c r="B63" s="33" t="s">
        <v>2580</v>
      </c>
      <c r="C63" s="33" t="s">
        <v>1599</v>
      </c>
      <c r="D63" s="35">
        <v>67063</v>
      </c>
      <c r="E63" s="35"/>
      <c r="F63" s="35"/>
      <c r="G63" s="33" t="s">
        <v>1600</v>
      </c>
      <c r="H63" s="33" t="s">
        <v>1601</v>
      </c>
    </row>
    <row r="64" spans="2:8" x14ac:dyDescent="0.35">
      <c r="B64" s="33" t="s">
        <v>2580</v>
      </c>
      <c r="C64" s="33" t="s">
        <v>1563</v>
      </c>
      <c r="D64" s="35">
        <v>66900</v>
      </c>
      <c r="E64" s="35"/>
      <c r="F64" s="35"/>
      <c r="G64" s="33" t="s">
        <v>1564</v>
      </c>
      <c r="H64" s="33" t="s">
        <v>1565</v>
      </c>
    </row>
    <row r="65" spans="2:8" x14ac:dyDescent="0.35">
      <c r="B65" s="33" t="s">
        <v>2580</v>
      </c>
      <c r="C65" s="33" t="s">
        <v>613</v>
      </c>
      <c r="D65" s="35">
        <v>66563</v>
      </c>
      <c r="E65" s="35"/>
      <c r="F65" s="35"/>
      <c r="G65" s="33" t="s">
        <v>1618</v>
      </c>
      <c r="H65" s="33" t="s">
        <v>1619</v>
      </c>
    </row>
    <row r="66" spans="2:8" x14ac:dyDescent="0.35">
      <c r="B66" s="33" t="s">
        <v>2580</v>
      </c>
      <c r="C66" s="33" t="s">
        <v>1608</v>
      </c>
      <c r="D66" s="35">
        <v>66551</v>
      </c>
      <c r="E66" s="35"/>
      <c r="F66" s="35"/>
      <c r="G66" s="33" t="s">
        <v>1609</v>
      </c>
      <c r="H66" s="33" t="s">
        <v>1610</v>
      </c>
    </row>
    <row r="67" spans="2:8" x14ac:dyDescent="0.35">
      <c r="B67" s="33" t="s">
        <v>2580</v>
      </c>
      <c r="C67" s="33" t="s">
        <v>1578</v>
      </c>
      <c r="D67" s="35">
        <v>66250</v>
      </c>
      <c r="E67" s="35"/>
      <c r="F67" s="35"/>
      <c r="G67" s="33" t="s">
        <v>1579</v>
      </c>
      <c r="H67" s="33" t="s">
        <v>1580</v>
      </c>
    </row>
    <row r="68" spans="2:8" x14ac:dyDescent="0.35">
      <c r="B68" s="33" t="s">
        <v>2580</v>
      </c>
      <c r="C68" s="33" t="s">
        <v>1898</v>
      </c>
      <c r="D68" s="35">
        <v>66000</v>
      </c>
      <c r="E68" s="35"/>
      <c r="F68" s="35"/>
      <c r="G68" s="33" t="s">
        <v>1594</v>
      </c>
      <c r="H68" s="33" t="s">
        <v>1595</v>
      </c>
    </row>
    <row r="69" spans="2:8" x14ac:dyDescent="0.35">
      <c r="B69" s="33" t="s">
        <v>2580</v>
      </c>
      <c r="C69" s="33" t="s">
        <v>1590</v>
      </c>
      <c r="D69" s="35">
        <v>65659</v>
      </c>
      <c r="E69" s="35"/>
      <c r="F69" s="35"/>
      <c r="G69" s="33" t="s">
        <v>1591</v>
      </c>
      <c r="H69" s="33" t="s">
        <v>1592</v>
      </c>
    </row>
    <row r="70" spans="2:8" x14ac:dyDescent="0.35">
      <c r="B70" s="33" t="s">
        <v>2580</v>
      </c>
      <c r="C70" s="33" t="s">
        <v>1408</v>
      </c>
      <c r="D70" s="35">
        <v>65554</v>
      </c>
      <c r="E70" s="35"/>
      <c r="F70" s="35"/>
      <c r="G70" s="33" t="s">
        <v>1455</v>
      </c>
      <c r="H70" s="33" t="s">
        <v>1456</v>
      </c>
    </row>
    <row r="71" spans="2:8" x14ac:dyDescent="0.35">
      <c r="B71" s="33" t="s">
        <v>2580</v>
      </c>
      <c r="C71" s="33" t="s">
        <v>1614</v>
      </c>
      <c r="D71" s="35">
        <v>65400</v>
      </c>
      <c r="E71" s="35"/>
      <c r="F71" s="35"/>
      <c r="G71" s="33" t="s">
        <v>1505</v>
      </c>
      <c r="H71" s="33" t="s">
        <v>1506</v>
      </c>
    </row>
    <row r="72" spans="2:8" x14ac:dyDescent="0.35">
      <c r="B72" s="33" t="s">
        <v>2580</v>
      </c>
      <c r="C72" s="33" t="s">
        <v>1596</v>
      </c>
      <c r="D72" s="35">
        <v>65100</v>
      </c>
      <c r="E72" s="35"/>
      <c r="F72" s="35"/>
      <c r="G72" s="33" t="s">
        <v>1597</v>
      </c>
      <c r="H72" s="33" t="s">
        <v>1598</v>
      </c>
    </row>
    <row r="73" spans="2:8" x14ac:dyDescent="0.35">
      <c r="B73" s="33" t="s">
        <v>2580</v>
      </c>
      <c r="C73" s="33" t="s">
        <v>1593</v>
      </c>
      <c r="D73" s="35">
        <v>65000</v>
      </c>
      <c r="E73" s="35"/>
      <c r="F73" s="35"/>
      <c r="G73" s="33" t="s">
        <v>1672</v>
      </c>
      <c r="H73" s="33" t="s">
        <v>1673</v>
      </c>
    </row>
    <row r="74" spans="2:8" x14ac:dyDescent="0.35">
      <c r="B74" s="33" t="s">
        <v>2580</v>
      </c>
      <c r="C74" s="33" t="s">
        <v>1671</v>
      </c>
      <c r="D74" s="35">
        <v>65000</v>
      </c>
      <c r="E74" s="35"/>
      <c r="F74" s="35"/>
      <c r="G74" s="33" t="s">
        <v>1784</v>
      </c>
      <c r="H74" s="33" t="s">
        <v>1785</v>
      </c>
    </row>
    <row r="75" spans="2:8" x14ac:dyDescent="0.35">
      <c r="B75" s="33" t="s">
        <v>2580</v>
      </c>
      <c r="C75" s="33" t="s">
        <v>1602</v>
      </c>
      <c r="D75" s="35">
        <v>64768</v>
      </c>
      <c r="E75" s="35"/>
      <c r="F75" s="35"/>
      <c r="G75" s="33" t="s">
        <v>1603</v>
      </c>
      <c r="H75" s="33" t="s">
        <v>1604</v>
      </c>
    </row>
    <row r="76" spans="2:8" x14ac:dyDescent="0.35">
      <c r="B76" s="33" t="s">
        <v>2580</v>
      </c>
      <c r="C76" s="33" t="s">
        <v>1575</v>
      </c>
      <c r="D76" s="35">
        <v>64500</v>
      </c>
      <c r="E76" s="35"/>
      <c r="F76" s="35"/>
      <c r="G76" s="33" t="s">
        <v>1576</v>
      </c>
      <c r="H76" s="33" t="s">
        <v>1577</v>
      </c>
    </row>
    <row r="77" spans="2:8" x14ac:dyDescent="0.35">
      <c r="B77" s="33" t="s">
        <v>2580</v>
      </c>
      <c r="C77" s="33" t="s">
        <v>1632</v>
      </c>
      <c r="D77" s="35">
        <v>63208</v>
      </c>
      <c r="E77" s="35"/>
      <c r="F77" s="35"/>
      <c r="G77" s="33" t="s">
        <v>1633</v>
      </c>
      <c r="H77" s="33" t="s">
        <v>1634</v>
      </c>
    </row>
    <row r="78" spans="2:8" x14ac:dyDescent="0.35">
      <c r="B78" s="33" t="s">
        <v>2584</v>
      </c>
      <c r="C78" s="33" t="s">
        <v>1611</v>
      </c>
      <c r="D78" s="35">
        <v>63025</v>
      </c>
      <c r="E78" s="35"/>
      <c r="F78" s="35"/>
      <c r="G78" s="33" t="s">
        <v>1612</v>
      </c>
      <c r="H78" s="33" t="s">
        <v>1613</v>
      </c>
    </row>
    <row r="79" spans="2:8" x14ac:dyDescent="0.35">
      <c r="B79" s="33" t="s">
        <v>2580</v>
      </c>
      <c r="C79" s="33" t="s">
        <v>1626</v>
      </c>
      <c r="D79" s="35">
        <v>62985</v>
      </c>
      <c r="E79" s="35"/>
      <c r="F79" s="35"/>
      <c r="G79" s="33" t="s">
        <v>1627</v>
      </c>
      <c r="H79" s="33" t="s">
        <v>1628</v>
      </c>
    </row>
    <row r="80" spans="2:8" x14ac:dyDescent="0.35">
      <c r="B80" s="33" t="s">
        <v>2580</v>
      </c>
      <c r="C80" s="33" t="s">
        <v>1638</v>
      </c>
      <c r="D80" s="35">
        <v>62688</v>
      </c>
      <c r="E80" s="35"/>
      <c r="F80" s="35"/>
      <c r="G80" s="33" t="s">
        <v>1639</v>
      </c>
      <c r="H80" s="33" t="s">
        <v>1640</v>
      </c>
    </row>
    <row r="81" spans="2:8" x14ac:dyDescent="0.35">
      <c r="B81" s="33" t="s">
        <v>2580</v>
      </c>
      <c r="C81" s="33" t="s">
        <v>1650</v>
      </c>
      <c r="D81" s="35">
        <v>62563</v>
      </c>
      <c r="E81" s="35"/>
      <c r="F81" s="35"/>
      <c r="G81" s="33" t="s">
        <v>1651</v>
      </c>
      <c r="H81" s="33" t="s">
        <v>1652</v>
      </c>
    </row>
    <row r="82" spans="2:8" x14ac:dyDescent="0.35">
      <c r="B82" s="33" t="s">
        <v>2580</v>
      </c>
      <c r="C82" s="33" t="s">
        <v>2024</v>
      </c>
      <c r="D82" s="35">
        <v>62500</v>
      </c>
      <c r="E82" s="35"/>
      <c r="F82" s="35"/>
      <c r="G82" s="33" t="s">
        <v>1546</v>
      </c>
      <c r="H82" s="33" t="s">
        <v>1547</v>
      </c>
    </row>
    <row r="83" spans="2:8" x14ac:dyDescent="0.35">
      <c r="B83" s="33" t="s">
        <v>2580</v>
      </c>
      <c r="C83" s="33" t="s">
        <v>1647</v>
      </c>
      <c r="D83" s="35">
        <v>62350</v>
      </c>
      <c r="E83" s="35"/>
      <c r="F83" s="35"/>
      <c r="G83" s="33" t="s">
        <v>1648</v>
      </c>
      <c r="H83" s="33" t="s">
        <v>1649</v>
      </c>
    </row>
    <row r="84" spans="2:8" x14ac:dyDescent="0.35">
      <c r="B84" s="33" t="s">
        <v>2580</v>
      </c>
      <c r="C84" s="33" t="s">
        <v>1641</v>
      </c>
      <c r="D84" s="35">
        <v>62100</v>
      </c>
      <c r="E84" s="35"/>
      <c r="F84" s="35"/>
      <c r="G84" s="33" t="s">
        <v>1642</v>
      </c>
      <c r="H84" s="33" t="s">
        <v>1643</v>
      </c>
    </row>
    <row r="85" spans="2:8" x14ac:dyDescent="0.35">
      <c r="B85" s="33" t="s">
        <v>2580</v>
      </c>
      <c r="C85" s="33" t="s">
        <v>1635</v>
      </c>
      <c r="D85" s="35">
        <v>61687</v>
      </c>
      <c r="E85" s="35"/>
      <c r="F85" s="35"/>
      <c r="G85" s="33" t="s">
        <v>1636</v>
      </c>
      <c r="H85" s="33" t="s">
        <v>1637</v>
      </c>
    </row>
    <row r="86" spans="2:8" x14ac:dyDescent="0.35">
      <c r="B86" s="33" t="s">
        <v>2580</v>
      </c>
      <c r="C86" s="33" t="s">
        <v>1629</v>
      </c>
      <c r="D86" s="35">
        <v>61492</v>
      </c>
      <c r="E86" s="35"/>
      <c r="F86" s="35"/>
      <c r="G86" s="33" t="s">
        <v>1630</v>
      </c>
      <c r="H86" s="33" t="s">
        <v>1631</v>
      </c>
    </row>
    <row r="87" spans="2:8" x14ac:dyDescent="0.35">
      <c r="B87" s="33" t="s">
        <v>2584</v>
      </c>
      <c r="C87" s="33" t="s">
        <v>1644</v>
      </c>
      <c r="D87" s="35">
        <v>61403</v>
      </c>
      <c r="E87" s="35"/>
      <c r="F87" s="35"/>
      <c r="G87" s="33" t="s">
        <v>1645</v>
      </c>
      <c r="H87" s="33" t="s">
        <v>1646</v>
      </c>
    </row>
    <row r="88" spans="2:8" x14ac:dyDescent="0.35">
      <c r="B88" s="33" t="s">
        <v>2580</v>
      </c>
      <c r="C88" s="33" t="s">
        <v>1820</v>
      </c>
      <c r="D88" s="35">
        <v>61200</v>
      </c>
      <c r="E88" s="35"/>
      <c r="F88" s="35"/>
      <c r="G88" s="33" t="s">
        <v>1821</v>
      </c>
      <c r="H88" s="33" t="s">
        <v>1822</v>
      </c>
    </row>
    <row r="89" spans="2:8" x14ac:dyDescent="0.35">
      <c r="B89" s="33" t="s">
        <v>2580</v>
      </c>
      <c r="C89" s="33" t="s">
        <v>1681</v>
      </c>
      <c r="D89" s="35">
        <v>61119</v>
      </c>
      <c r="E89" s="35"/>
      <c r="F89" s="35"/>
      <c r="G89" s="33" t="s">
        <v>1682</v>
      </c>
      <c r="H89" s="33" t="s">
        <v>1683</v>
      </c>
    </row>
    <row r="90" spans="2:8" x14ac:dyDescent="0.35">
      <c r="B90" s="33" t="s">
        <v>2580</v>
      </c>
      <c r="C90" s="33" t="s">
        <v>1662</v>
      </c>
      <c r="D90" s="35">
        <v>60626</v>
      </c>
      <c r="E90" s="35"/>
      <c r="F90" s="35"/>
      <c r="G90" s="33" t="s">
        <v>1663</v>
      </c>
      <c r="H90" s="33" t="s">
        <v>1664</v>
      </c>
    </row>
    <row r="91" spans="2:8" x14ac:dyDescent="0.35">
      <c r="B91" s="33" t="s">
        <v>2580</v>
      </c>
      <c r="C91" s="33" t="s">
        <v>1656</v>
      </c>
      <c r="D91" s="35">
        <v>60605</v>
      </c>
      <c r="E91" s="35"/>
      <c r="F91" s="35"/>
      <c r="G91" s="33" t="s">
        <v>1657</v>
      </c>
      <c r="H91" s="33" t="s">
        <v>1658</v>
      </c>
    </row>
    <row r="92" spans="2:8" x14ac:dyDescent="0.35">
      <c r="B92" s="33" t="s">
        <v>2580</v>
      </c>
      <c r="C92" s="33" t="s">
        <v>1653</v>
      </c>
      <c r="D92" s="35">
        <v>60300</v>
      </c>
      <c r="E92" s="35"/>
      <c r="F92" s="35"/>
      <c r="G92" s="33" t="s">
        <v>1654</v>
      </c>
      <c r="H92" s="33" t="s">
        <v>1655</v>
      </c>
    </row>
    <row r="93" spans="2:8" x14ac:dyDescent="0.35">
      <c r="B93" s="33" t="s">
        <v>2580</v>
      </c>
      <c r="C93" s="33" t="s">
        <v>1620</v>
      </c>
      <c r="D93" s="35">
        <v>60000</v>
      </c>
      <c r="E93" s="35"/>
      <c r="F93" s="35"/>
      <c r="G93" s="33" t="s">
        <v>1829</v>
      </c>
      <c r="H93" s="33" t="s">
        <v>1830</v>
      </c>
    </row>
    <row r="94" spans="2:8" x14ac:dyDescent="0.35">
      <c r="B94" s="33" t="s">
        <v>2580</v>
      </c>
      <c r="C94" s="33" t="s">
        <v>1668</v>
      </c>
      <c r="D94" s="35">
        <v>59857</v>
      </c>
      <c r="E94" s="35"/>
      <c r="F94" s="35"/>
      <c r="G94" s="33" t="s">
        <v>1669</v>
      </c>
      <c r="H94" s="33" t="s">
        <v>1670</v>
      </c>
    </row>
    <row r="95" spans="2:8" x14ac:dyDescent="0.35">
      <c r="B95" s="33" t="s">
        <v>2580</v>
      </c>
      <c r="C95" s="33" t="s">
        <v>1665</v>
      </c>
      <c r="D95" s="35">
        <v>59685</v>
      </c>
      <c r="E95" s="35"/>
      <c r="F95" s="35"/>
      <c r="G95" s="33" t="s">
        <v>1666</v>
      </c>
      <c r="H95" s="33" t="s">
        <v>1667</v>
      </c>
    </row>
    <row r="96" spans="2:8" x14ac:dyDescent="0.35">
      <c r="B96" s="33" t="s">
        <v>2580</v>
      </c>
      <c r="C96" s="33" t="s">
        <v>1882</v>
      </c>
      <c r="D96" s="35">
        <v>59425</v>
      </c>
      <c r="E96" s="35"/>
      <c r="F96" s="35"/>
      <c r="G96" s="33" t="s">
        <v>1883</v>
      </c>
      <c r="H96" s="33" t="s">
        <v>1884</v>
      </c>
    </row>
    <row r="97" spans="2:8" x14ac:dyDescent="0.35">
      <c r="B97" s="33" t="s">
        <v>2580</v>
      </c>
      <c r="C97" s="33" t="s">
        <v>1693</v>
      </c>
      <c r="D97" s="35">
        <v>59188</v>
      </c>
      <c r="E97" s="35"/>
      <c r="F97" s="35"/>
      <c r="G97" s="33" t="s">
        <v>1694</v>
      </c>
      <c r="H97" s="33" t="s">
        <v>1695</v>
      </c>
    </row>
    <row r="98" spans="2:8" x14ac:dyDescent="0.35">
      <c r="B98" s="33" t="s">
        <v>2580</v>
      </c>
      <c r="C98" s="33" t="s">
        <v>1690</v>
      </c>
      <c r="D98" s="35">
        <v>58966</v>
      </c>
      <c r="E98" s="35"/>
      <c r="F98" s="35"/>
      <c r="G98" s="33" t="s">
        <v>1691</v>
      </c>
      <c r="H98" s="33" t="s">
        <v>1692</v>
      </c>
    </row>
    <row r="99" spans="2:8" x14ac:dyDescent="0.35">
      <c r="B99" s="33" t="s">
        <v>2580</v>
      </c>
      <c r="C99" s="33" t="s">
        <v>1684</v>
      </c>
      <c r="D99" s="35">
        <v>58718</v>
      </c>
      <c r="E99" s="35"/>
      <c r="F99" s="35"/>
      <c r="G99" s="33" t="s">
        <v>1685</v>
      </c>
      <c r="H99" s="33" t="s">
        <v>1686</v>
      </c>
    </row>
    <row r="100" spans="2:8" x14ac:dyDescent="0.35">
      <c r="B100" s="33" t="s">
        <v>2580</v>
      </c>
      <c r="C100" s="33" t="s">
        <v>1674</v>
      </c>
      <c r="D100" s="35">
        <v>58508</v>
      </c>
      <c r="E100" s="35"/>
      <c r="F100" s="35"/>
      <c r="G100" s="33" t="s">
        <v>1675</v>
      </c>
      <c r="H100" s="33" t="s">
        <v>1676</v>
      </c>
    </row>
    <row r="101" spans="2:8" x14ac:dyDescent="0.35">
      <c r="B101" s="33" t="s">
        <v>2580</v>
      </c>
      <c r="C101" s="33" t="s">
        <v>1702</v>
      </c>
      <c r="D101" s="35">
        <v>58485</v>
      </c>
      <c r="E101" s="35"/>
      <c r="F101" s="35"/>
      <c r="G101" s="33" t="s">
        <v>1703</v>
      </c>
      <c r="H101" s="33" t="s">
        <v>1704</v>
      </c>
    </row>
    <row r="102" spans="2:8" x14ac:dyDescent="0.35">
      <c r="B102" s="33" t="s">
        <v>2580</v>
      </c>
      <c r="C102" s="33" t="s">
        <v>1705</v>
      </c>
      <c r="D102" s="35">
        <v>58125</v>
      </c>
      <c r="E102" s="35"/>
      <c r="F102" s="35"/>
      <c r="G102" s="33" t="s">
        <v>1706</v>
      </c>
      <c r="H102" s="33" t="s">
        <v>1707</v>
      </c>
    </row>
    <row r="103" spans="2:8" x14ac:dyDescent="0.35">
      <c r="B103" s="33" t="s">
        <v>2580</v>
      </c>
      <c r="C103" s="33" t="s">
        <v>1659</v>
      </c>
      <c r="D103" s="35">
        <v>58000</v>
      </c>
      <c r="E103" s="35"/>
      <c r="F103" s="35"/>
      <c r="G103" s="33" t="s">
        <v>1660</v>
      </c>
      <c r="H103" s="33" t="s">
        <v>1661</v>
      </c>
    </row>
    <row r="104" spans="2:8" x14ac:dyDescent="0.35">
      <c r="B104" s="33" t="s">
        <v>2580</v>
      </c>
      <c r="C104" s="33" t="s">
        <v>1687</v>
      </c>
      <c r="D104" s="35">
        <v>58000</v>
      </c>
      <c r="E104" s="35"/>
      <c r="F104" s="35"/>
      <c r="G104" s="33" t="s">
        <v>1688</v>
      </c>
      <c r="H104" s="33" t="s">
        <v>1689</v>
      </c>
    </row>
    <row r="105" spans="2:8" x14ac:dyDescent="0.35">
      <c r="B105" s="33" t="s">
        <v>2580</v>
      </c>
      <c r="C105" s="33" t="s">
        <v>602</v>
      </c>
      <c r="D105" s="35">
        <v>57500</v>
      </c>
      <c r="E105" s="35"/>
      <c r="F105" s="35"/>
      <c r="G105" s="33" t="s">
        <v>603</v>
      </c>
      <c r="H105" s="33" t="s">
        <v>604</v>
      </c>
    </row>
    <row r="106" spans="2:8" x14ac:dyDescent="0.35">
      <c r="B106" s="33" t="s">
        <v>2580</v>
      </c>
      <c r="C106" s="33" t="s">
        <v>641</v>
      </c>
      <c r="D106" s="35">
        <v>57418</v>
      </c>
      <c r="E106" s="35"/>
      <c r="F106" s="35"/>
      <c r="G106" s="33" t="s">
        <v>1624</v>
      </c>
      <c r="H106" s="33" t="s">
        <v>1625</v>
      </c>
    </row>
    <row r="107" spans="2:8" x14ac:dyDescent="0.35">
      <c r="B107" s="33" t="s">
        <v>2580</v>
      </c>
      <c r="C107" s="33" t="s">
        <v>1726</v>
      </c>
      <c r="D107" s="35">
        <v>57417</v>
      </c>
      <c r="E107" s="35"/>
      <c r="F107" s="35"/>
      <c r="G107" s="33" t="s">
        <v>1433</v>
      </c>
      <c r="H107" s="33" t="s">
        <v>1434</v>
      </c>
    </row>
    <row r="108" spans="2:8" x14ac:dyDescent="0.35">
      <c r="B108" s="33" t="s">
        <v>2580</v>
      </c>
      <c r="C108" s="33" t="s">
        <v>1708</v>
      </c>
      <c r="D108" s="35">
        <v>57376</v>
      </c>
      <c r="E108" s="35"/>
      <c r="F108" s="35"/>
      <c r="G108" s="33" t="s">
        <v>1709</v>
      </c>
      <c r="H108" s="33" t="s">
        <v>1710</v>
      </c>
    </row>
    <row r="109" spans="2:8" x14ac:dyDescent="0.35">
      <c r="B109" s="33" t="s">
        <v>2580</v>
      </c>
      <c r="C109" s="33" t="s">
        <v>1714</v>
      </c>
      <c r="D109" s="35">
        <v>57234</v>
      </c>
      <c r="E109" s="35"/>
      <c r="F109" s="35"/>
      <c r="G109" s="33" t="s">
        <v>1715</v>
      </c>
      <c r="H109" s="33" t="s">
        <v>1716</v>
      </c>
    </row>
    <row r="110" spans="2:8" x14ac:dyDescent="0.35">
      <c r="B110" s="33" t="s">
        <v>2580</v>
      </c>
      <c r="C110" s="33" t="s">
        <v>1761</v>
      </c>
      <c r="D110" s="35">
        <v>57210</v>
      </c>
      <c r="E110" s="35"/>
      <c r="F110" s="35"/>
      <c r="G110" s="33" t="s">
        <v>1762</v>
      </c>
      <c r="H110" s="33" t="s">
        <v>1763</v>
      </c>
    </row>
    <row r="111" spans="2:8" x14ac:dyDescent="0.35">
      <c r="B111" s="33" t="s">
        <v>2580</v>
      </c>
      <c r="C111" s="33" t="s">
        <v>1814</v>
      </c>
      <c r="D111" s="35">
        <v>57192</v>
      </c>
      <c r="E111" s="35"/>
      <c r="F111" s="35"/>
      <c r="G111" s="33" t="s">
        <v>1815</v>
      </c>
      <c r="H111" s="33" t="s">
        <v>1816</v>
      </c>
    </row>
    <row r="112" spans="2:8" x14ac:dyDescent="0.35">
      <c r="B112" s="33" t="s">
        <v>2580</v>
      </c>
      <c r="C112" s="33" t="s">
        <v>1764</v>
      </c>
      <c r="D112" s="35">
        <v>57109</v>
      </c>
      <c r="E112" s="35"/>
      <c r="F112" s="35"/>
      <c r="G112" s="33" t="s">
        <v>1765</v>
      </c>
      <c r="H112" s="33" t="s">
        <v>1766</v>
      </c>
    </row>
    <row r="113" spans="2:8" x14ac:dyDescent="0.35">
      <c r="B113" s="33" t="s">
        <v>2580</v>
      </c>
      <c r="C113" s="33" t="s">
        <v>1783</v>
      </c>
      <c r="D113" s="35">
        <v>56944</v>
      </c>
      <c r="E113" s="35"/>
      <c r="F113" s="35"/>
      <c r="G113" s="33" t="s">
        <v>1679</v>
      </c>
      <c r="H113" s="33" t="s">
        <v>1680</v>
      </c>
    </row>
    <row r="114" spans="2:8" x14ac:dyDescent="0.35">
      <c r="B114" s="33" t="s">
        <v>2580</v>
      </c>
      <c r="C114" s="33" t="s">
        <v>1752</v>
      </c>
      <c r="D114" s="35">
        <v>56875</v>
      </c>
      <c r="E114" s="35"/>
      <c r="F114" s="35"/>
      <c r="G114" s="33" t="s">
        <v>1753</v>
      </c>
      <c r="H114" s="33" t="s">
        <v>1754</v>
      </c>
    </row>
    <row r="115" spans="2:8" x14ac:dyDescent="0.35">
      <c r="B115" s="33" t="s">
        <v>2580</v>
      </c>
      <c r="C115" s="33" t="s">
        <v>1804</v>
      </c>
      <c r="D115" s="35">
        <v>56837</v>
      </c>
      <c r="E115" s="35"/>
      <c r="F115" s="35"/>
      <c r="G115" s="33" t="s">
        <v>1442</v>
      </c>
      <c r="H115" s="33" t="s">
        <v>1443</v>
      </c>
    </row>
    <row r="116" spans="2:8" x14ac:dyDescent="0.35">
      <c r="B116" s="33" t="s">
        <v>2580</v>
      </c>
      <c r="C116" s="33" t="s">
        <v>1735</v>
      </c>
      <c r="D116" s="35">
        <v>56801</v>
      </c>
      <c r="E116" s="35"/>
      <c r="F116" s="35"/>
      <c r="G116" s="33" t="s">
        <v>1736</v>
      </c>
      <c r="H116" s="33" t="s">
        <v>1737</v>
      </c>
    </row>
    <row r="117" spans="2:8" x14ac:dyDescent="0.35">
      <c r="B117" s="33" t="s">
        <v>2580</v>
      </c>
      <c r="C117" s="33" t="s">
        <v>1894</v>
      </c>
      <c r="D117" s="35">
        <v>56650</v>
      </c>
      <c r="E117" s="35"/>
      <c r="F117" s="35"/>
      <c r="G117" s="33" t="s">
        <v>1730</v>
      </c>
      <c r="H117" s="33" t="s">
        <v>1731</v>
      </c>
    </row>
    <row r="118" spans="2:8" x14ac:dyDescent="0.35">
      <c r="B118" s="33" t="s">
        <v>2580</v>
      </c>
      <c r="C118" s="33" t="s">
        <v>1755</v>
      </c>
      <c r="D118" s="35">
        <v>56550</v>
      </c>
      <c r="E118" s="35"/>
      <c r="F118" s="35"/>
      <c r="G118" s="33" t="s">
        <v>1756</v>
      </c>
      <c r="H118" s="33" t="s">
        <v>1757</v>
      </c>
    </row>
    <row r="119" spans="2:8" x14ac:dyDescent="0.35">
      <c r="B119" s="33" t="s">
        <v>2580</v>
      </c>
      <c r="C119" s="33" t="s">
        <v>1738</v>
      </c>
      <c r="D119" s="35">
        <v>56425</v>
      </c>
      <c r="E119" s="35"/>
      <c r="F119" s="35"/>
      <c r="G119" s="33" t="s">
        <v>1739</v>
      </c>
      <c r="H119" s="33" t="s">
        <v>1740</v>
      </c>
    </row>
    <row r="120" spans="2:8" x14ac:dyDescent="0.35">
      <c r="B120" s="33" t="s">
        <v>2580</v>
      </c>
      <c r="C120" s="33" t="s">
        <v>1699</v>
      </c>
      <c r="D120" s="35">
        <v>56420</v>
      </c>
      <c r="E120" s="35"/>
      <c r="F120" s="35"/>
      <c r="G120" s="33" t="s">
        <v>1700</v>
      </c>
      <c r="H120" s="33" t="s">
        <v>1701</v>
      </c>
    </row>
    <row r="121" spans="2:8" x14ac:dyDescent="0.35">
      <c r="B121" s="33" t="s">
        <v>2580</v>
      </c>
      <c r="C121" s="33" t="s">
        <v>1770</v>
      </c>
      <c r="D121" s="35">
        <v>56366</v>
      </c>
      <c r="E121" s="35"/>
      <c r="F121" s="35"/>
      <c r="G121" s="33" t="s">
        <v>1486</v>
      </c>
      <c r="H121" s="33" t="s">
        <v>1487</v>
      </c>
    </row>
    <row r="122" spans="2:8" x14ac:dyDescent="0.35">
      <c r="B122" s="33" t="s">
        <v>2580</v>
      </c>
      <c r="C122" s="33" t="s">
        <v>1732</v>
      </c>
      <c r="D122" s="35">
        <v>56359</v>
      </c>
      <c r="E122" s="35"/>
      <c r="F122" s="35"/>
      <c r="G122" s="33" t="s">
        <v>1733</v>
      </c>
      <c r="H122" s="33" t="s">
        <v>1734</v>
      </c>
    </row>
    <row r="123" spans="2:8" x14ac:dyDescent="0.35">
      <c r="B123" s="33" t="s">
        <v>2580</v>
      </c>
      <c r="C123" s="33" t="s">
        <v>1817</v>
      </c>
      <c r="D123" s="35">
        <v>56250</v>
      </c>
      <c r="E123" s="34"/>
      <c r="F123" s="34"/>
      <c r="G123" s="33" t="s">
        <v>1677</v>
      </c>
      <c r="H123" s="33" t="s">
        <v>1678</v>
      </c>
    </row>
    <row r="124" spans="2:8" x14ac:dyDescent="0.35">
      <c r="B124" s="33" t="s">
        <v>2580</v>
      </c>
      <c r="C124" s="33" t="s">
        <v>1696</v>
      </c>
      <c r="D124" s="35">
        <v>56250</v>
      </c>
      <c r="E124" s="35"/>
      <c r="F124" s="35"/>
      <c r="G124" s="33" t="s">
        <v>1697</v>
      </c>
      <c r="H124" s="33" t="s">
        <v>1698</v>
      </c>
    </row>
    <row r="125" spans="2:8" x14ac:dyDescent="0.35">
      <c r="B125" s="33" t="s">
        <v>2580</v>
      </c>
      <c r="C125" s="33" t="s">
        <v>1758</v>
      </c>
      <c r="D125" s="35">
        <v>56229</v>
      </c>
      <c r="E125" s="35"/>
      <c r="F125" s="35"/>
      <c r="G125" s="33" t="s">
        <v>1759</v>
      </c>
      <c r="H125" s="33" t="s">
        <v>1760</v>
      </c>
    </row>
    <row r="126" spans="2:8" x14ac:dyDescent="0.35">
      <c r="B126" s="33" t="s">
        <v>2580</v>
      </c>
      <c r="C126" s="33" t="s">
        <v>1749</v>
      </c>
      <c r="D126" s="35">
        <v>56228</v>
      </c>
      <c r="E126" s="34"/>
      <c r="F126" s="34"/>
      <c r="G126" s="33" t="s">
        <v>1750</v>
      </c>
      <c r="H126" s="33" t="s">
        <v>1751</v>
      </c>
    </row>
    <row r="127" spans="2:8" x14ac:dyDescent="0.35">
      <c r="B127" s="33" t="s">
        <v>2580</v>
      </c>
      <c r="C127" s="33" t="s">
        <v>1717</v>
      </c>
      <c r="D127" s="35">
        <v>56204</v>
      </c>
      <c r="E127" s="35"/>
      <c r="F127" s="35"/>
      <c r="G127" s="33" t="s">
        <v>1718</v>
      </c>
      <c r="H127" s="33" t="s">
        <v>1719</v>
      </c>
    </row>
    <row r="128" spans="2:8" x14ac:dyDescent="0.35">
      <c r="B128" s="33" t="s">
        <v>2580</v>
      </c>
      <c r="C128" s="33" t="s">
        <v>1723</v>
      </c>
      <c r="D128" s="35">
        <v>56200</v>
      </c>
      <c r="E128" s="35"/>
      <c r="F128" s="35"/>
      <c r="G128" s="33" t="s">
        <v>1724</v>
      </c>
      <c r="H128" s="33" t="s">
        <v>1725</v>
      </c>
    </row>
    <row r="129" spans="2:8" x14ac:dyDescent="0.35">
      <c r="B129" s="33" t="s">
        <v>2580</v>
      </c>
      <c r="C129" s="33" t="s">
        <v>1767</v>
      </c>
      <c r="D129" s="35">
        <v>55991</v>
      </c>
      <c r="E129" s="35"/>
      <c r="F129" s="35"/>
      <c r="G129" s="33" t="s">
        <v>1768</v>
      </c>
      <c r="H129" s="33" t="s">
        <v>1769</v>
      </c>
    </row>
    <row r="130" spans="2:8" x14ac:dyDescent="0.35">
      <c r="B130" s="33" t="s">
        <v>2580</v>
      </c>
      <c r="C130" s="33" t="s">
        <v>1711</v>
      </c>
      <c r="D130" s="35">
        <v>55625</v>
      </c>
      <c r="E130" s="35"/>
      <c r="F130" s="35"/>
      <c r="G130" s="33" t="s">
        <v>1712</v>
      </c>
      <c r="H130" s="33" t="s">
        <v>1713</v>
      </c>
    </row>
    <row r="131" spans="2:8" x14ac:dyDescent="0.35">
      <c r="B131" s="33" t="s">
        <v>2580</v>
      </c>
      <c r="C131" s="33" t="s">
        <v>1780</v>
      </c>
      <c r="D131" s="35">
        <v>55505</v>
      </c>
      <c r="E131" s="35"/>
      <c r="F131" s="35"/>
      <c r="G131" s="33" t="s">
        <v>1781</v>
      </c>
      <c r="H131" s="33" t="s">
        <v>1782</v>
      </c>
    </row>
    <row r="132" spans="2:8" x14ac:dyDescent="0.35">
      <c r="B132" s="33" t="s">
        <v>2580</v>
      </c>
      <c r="C132" s="33" t="s">
        <v>2043</v>
      </c>
      <c r="D132" s="35">
        <v>55452</v>
      </c>
      <c r="E132" s="35"/>
      <c r="F132" s="35"/>
      <c r="G132" s="33" t="s">
        <v>1741</v>
      </c>
      <c r="H132" s="33" t="s">
        <v>1742</v>
      </c>
    </row>
    <row r="133" spans="2:8" x14ac:dyDescent="0.35">
      <c r="B133" s="33" t="s">
        <v>2580</v>
      </c>
      <c r="C133" s="33" t="s">
        <v>1771</v>
      </c>
      <c r="D133" s="35">
        <v>55435</v>
      </c>
      <c r="E133" s="34"/>
      <c r="F133" s="34"/>
      <c r="G133" s="33" t="s">
        <v>1772</v>
      </c>
      <c r="H133" s="33" t="s">
        <v>1773</v>
      </c>
    </row>
    <row r="134" spans="2:8" x14ac:dyDescent="0.35">
      <c r="B134" s="33" t="s">
        <v>2580</v>
      </c>
      <c r="C134" s="33" t="s">
        <v>658</v>
      </c>
      <c r="D134" s="35">
        <v>55294</v>
      </c>
      <c r="E134" s="35"/>
      <c r="F134" s="35"/>
      <c r="G134" s="33" t="s">
        <v>1839</v>
      </c>
      <c r="H134" s="33" t="s">
        <v>1840</v>
      </c>
    </row>
    <row r="135" spans="2:8" x14ac:dyDescent="0.35">
      <c r="B135" s="33" t="s">
        <v>2580</v>
      </c>
      <c r="C135" s="33" t="s">
        <v>1727</v>
      </c>
      <c r="D135" s="35">
        <v>55084</v>
      </c>
      <c r="E135" s="35"/>
      <c r="F135" s="35"/>
      <c r="G135" s="33" t="s">
        <v>1728</v>
      </c>
      <c r="H135" s="33" t="s">
        <v>1729</v>
      </c>
    </row>
    <row r="136" spans="2:8" x14ac:dyDescent="0.35">
      <c r="B136" s="33" t="s">
        <v>2584</v>
      </c>
      <c r="C136" s="33" t="s">
        <v>1774</v>
      </c>
      <c r="D136" s="35">
        <v>55042</v>
      </c>
      <c r="E136" s="35"/>
      <c r="F136" s="35"/>
      <c r="G136" s="33" t="s">
        <v>1775</v>
      </c>
      <c r="H136" s="33" t="s">
        <v>1776</v>
      </c>
    </row>
    <row r="137" spans="2:8" x14ac:dyDescent="0.35">
      <c r="B137" s="33" t="s">
        <v>2580</v>
      </c>
      <c r="C137" s="33" t="s">
        <v>1786</v>
      </c>
      <c r="D137" s="35">
        <v>54934</v>
      </c>
      <c r="E137" s="35"/>
      <c r="F137" s="35"/>
      <c r="G137" s="33" t="s">
        <v>1787</v>
      </c>
      <c r="H137" s="33" t="s">
        <v>1788</v>
      </c>
    </row>
    <row r="138" spans="2:8" x14ac:dyDescent="0.35">
      <c r="B138" s="33" t="s">
        <v>2580</v>
      </c>
      <c r="C138" s="33" t="s">
        <v>1743</v>
      </c>
      <c r="D138" s="35">
        <v>54675</v>
      </c>
      <c r="E138" s="35"/>
      <c r="F138" s="35"/>
      <c r="G138" s="33" t="s">
        <v>1744</v>
      </c>
      <c r="H138" s="33" t="s">
        <v>1745</v>
      </c>
    </row>
    <row r="139" spans="2:8" x14ac:dyDescent="0.35">
      <c r="B139" s="33" t="s">
        <v>2580</v>
      </c>
      <c r="C139" s="33" t="s">
        <v>1792</v>
      </c>
      <c r="D139" s="35">
        <v>54369</v>
      </c>
      <c r="E139" s="35"/>
      <c r="F139" s="35"/>
      <c r="G139" s="33" t="s">
        <v>1793</v>
      </c>
      <c r="H139" s="33" t="s">
        <v>1794</v>
      </c>
    </row>
    <row r="140" spans="2:8" x14ac:dyDescent="0.35">
      <c r="B140" s="33" t="s">
        <v>2580</v>
      </c>
      <c r="C140" s="33" t="s">
        <v>1805</v>
      </c>
      <c r="D140" s="35">
        <v>54132</v>
      </c>
      <c r="E140" s="35"/>
      <c r="F140" s="35"/>
      <c r="G140" s="33" t="s">
        <v>1806</v>
      </c>
      <c r="H140" s="33" t="s">
        <v>1807</v>
      </c>
    </row>
    <row r="141" spans="2:8" x14ac:dyDescent="0.35">
      <c r="B141" s="33" t="s">
        <v>2580</v>
      </c>
      <c r="C141" s="33" t="s">
        <v>1948</v>
      </c>
      <c r="D141" s="35">
        <v>54072</v>
      </c>
      <c r="E141" s="35"/>
      <c r="F141" s="35"/>
      <c r="G141" s="33" t="s">
        <v>1949</v>
      </c>
      <c r="H141" s="33" t="s">
        <v>1950</v>
      </c>
    </row>
    <row r="142" spans="2:8" x14ac:dyDescent="0.35">
      <c r="B142" s="33" t="s">
        <v>2580</v>
      </c>
      <c r="C142" s="33" t="s">
        <v>1919</v>
      </c>
      <c r="D142" s="35">
        <v>54002</v>
      </c>
      <c r="E142" s="35"/>
      <c r="F142" s="35"/>
      <c r="G142" s="33" t="s">
        <v>1920</v>
      </c>
      <c r="H142" s="33" t="s">
        <v>1921</v>
      </c>
    </row>
    <row r="143" spans="2:8" x14ac:dyDescent="0.35">
      <c r="B143" s="33" t="s">
        <v>2580</v>
      </c>
      <c r="C143" s="33" t="s">
        <v>1789</v>
      </c>
      <c r="D143" s="35">
        <v>53928</v>
      </c>
      <c r="E143" s="35"/>
      <c r="F143" s="35"/>
      <c r="G143" s="33" t="s">
        <v>1790</v>
      </c>
      <c r="H143" s="33" t="s">
        <v>1791</v>
      </c>
    </row>
    <row r="144" spans="2:8" x14ac:dyDescent="0.35">
      <c r="B144" s="33" t="s">
        <v>2580</v>
      </c>
      <c r="C144" s="33" t="s">
        <v>614</v>
      </c>
      <c r="D144" s="35">
        <v>53921</v>
      </c>
      <c r="E144" s="35"/>
      <c r="F144" s="35"/>
      <c r="G144" s="33" t="s">
        <v>615</v>
      </c>
      <c r="H144" s="33" t="s">
        <v>616</v>
      </c>
    </row>
    <row r="145" spans="2:8" x14ac:dyDescent="0.35">
      <c r="B145" s="33" t="s">
        <v>2580</v>
      </c>
      <c r="C145" s="33" t="s">
        <v>1826</v>
      </c>
      <c r="D145" s="35">
        <v>53750</v>
      </c>
      <c r="E145" s="35"/>
      <c r="F145" s="35"/>
      <c r="G145" s="33" t="s">
        <v>1827</v>
      </c>
      <c r="H145" s="33" t="s">
        <v>1828</v>
      </c>
    </row>
    <row r="146" spans="2:8" x14ac:dyDescent="0.35">
      <c r="B146" s="33" t="s">
        <v>2580</v>
      </c>
      <c r="C146" s="33" t="s">
        <v>1823</v>
      </c>
      <c r="D146" s="35">
        <v>53556</v>
      </c>
      <c r="E146" s="35"/>
      <c r="F146" s="35"/>
      <c r="G146" s="33" t="s">
        <v>1824</v>
      </c>
      <c r="H146" s="33" t="s">
        <v>1825</v>
      </c>
    </row>
    <row r="147" spans="2:8" x14ac:dyDescent="0.35">
      <c r="B147" s="33" t="s">
        <v>2580</v>
      </c>
      <c r="C147" s="33" t="s">
        <v>1808</v>
      </c>
      <c r="D147" s="35">
        <v>53263</v>
      </c>
      <c r="E147" s="35"/>
      <c r="F147" s="35"/>
      <c r="G147" s="33" t="s">
        <v>1809</v>
      </c>
      <c r="H147" s="33" t="s">
        <v>1810</v>
      </c>
    </row>
    <row r="148" spans="2:8" x14ac:dyDescent="0.35">
      <c r="B148" s="33" t="s">
        <v>2580</v>
      </c>
      <c r="C148" s="33" t="s">
        <v>1811</v>
      </c>
      <c r="D148" s="35">
        <v>52981</v>
      </c>
      <c r="E148" s="35"/>
      <c r="F148" s="35"/>
      <c r="G148" s="33" t="s">
        <v>1812</v>
      </c>
      <c r="H148" s="33" t="s">
        <v>1813</v>
      </c>
    </row>
    <row r="149" spans="2:8" x14ac:dyDescent="0.35">
      <c r="B149" s="33" t="s">
        <v>2580</v>
      </c>
      <c r="C149" s="33" t="s">
        <v>1801</v>
      </c>
      <c r="D149" s="35">
        <v>52739</v>
      </c>
      <c r="E149" s="35"/>
      <c r="F149" s="35"/>
      <c r="G149" s="33" t="s">
        <v>1802</v>
      </c>
      <c r="H149" s="33" t="s">
        <v>1803</v>
      </c>
    </row>
    <row r="150" spans="2:8" x14ac:dyDescent="0.35">
      <c r="B150" s="33" t="s">
        <v>2580</v>
      </c>
      <c r="C150" s="33" t="s">
        <v>1746</v>
      </c>
      <c r="D150" s="35">
        <v>52628</v>
      </c>
      <c r="E150" s="35"/>
      <c r="F150" s="35"/>
      <c r="G150" s="33" t="s">
        <v>1747</v>
      </c>
      <c r="H150" s="33" t="s">
        <v>1748</v>
      </c>
    </row>
    <row r="151" spans="2:8" x14ac:dyDescent="0.35">
      <c r="B151" s="33" t="s">
        <v>2580</v>
      </c>
      <c r="C151" s="33" t="s">
        <v>655</v>
      </c>
      <c r="D151" s="35">
        <v>52560</v>
      </c>
      <c r="E151" s="35"/>
      <c r="F151" s="35"/>
      <c r="G151" s="33" t="s">
        <v>656</v>
      </c>
      <c r="H151" s="33" t="s">
        <v>657</v>
      </c>
    </row>
    <row r="152" spans="2:8" x14ac:dyDescent="0.35">
      <c r="B152" s="33" t="s">
        <v>2584</v>
      </c>
      <c r="C152" s="33" t="s">
        <v>1868</v>
      </c>
      <c r="D152" s="35">
        <v>52416</v>
      </c>
      <c r="E152" s="35"/>
      <c r="F152" s="35"/>
      <c r="G152" s="33" t="s">
        <v>1869</v>
      </c>
      <c r="H152" s="33" t="s">
        <v>1870</v>
      </c>
    </row>
    <row r="153" spans="2:8" x14ac:dyDescent="0.35">
      <c r="B153" s="33" t="s">
        <v>2580</v>
      </c>
      <c r="C153" s="33" t="s">
        <v>1927</v>
      </c>
      <c r="D153" s="35">
        <v>52231</v>
      </c>
      <c r="E153" s="35"/>
      <c r="F153" s="35"/>
      <c r="G153" s="33" t="s">
        <v>1928</v>
      </c>
      <c r="H153" s="33" t="s">
        <v>1929</v>
      </c>
    </row>
    <row r="154" spans="2:8" x14ac:dyDescent="0.35">
      <c r="B154" s="33" t="s">
        <v>2580</v>
      </c>
      <c r="C154" s="33" t="s">
        <v>1831</v>
      </c>
      <c r="D154" s="35">
        <v>52156</v>
      </c>
      <c r="E154" s="35"/>
      <c r="F154" s="35"/>
      <c r="G154" s="33" t="s">
        <v>1832</v>
      </c>
      <c r="H154" s="33" t="s">
        <v>1833</v>
      </c>
    </row>
    <row r="155" spans="2:8" x14ac:dyDescent="0.35">
      <c r="B155" s="33" t="s">
        <v>2580</v>
      </c>
      <c r="C155" s="33" t="s">
        <v>1777</v>
      </c>
      <c r="D155" s="35">
        <v>52103</v>
      </c>
      <c r="E155" s="35"/>
      <c r="F155" s="35"/>
      <c r="G155" s="33" t="s">
        <v>1778</v>
      </c>
      <c r="H155" s="33" t="s">
        <v>1779</v>
      </c>
    </row>
    <row r="156" spans="2:8" x14ac:dyDescent="0.35">
      <c r="B156" s="33" t="s">
        <v>2580</v>
      </c>
      <c r="C156" s="33" t="s">
        <v>2390</v>
      </c>
      <c r="D156" s="35">
        <v>51980</v>
      </c>
      <c r="E156" s="34"/>
      <c r="F156" s="34"/>
      <c r="G156" s="33" t="s">
        <v>1799</v>
      </c>
      <c r="H156" s="33" t="s">
        <v>1800</v>
      </c>
    </row>
    <row r="157" spans="2:8" x14ac:dyDescent="0.35">
      <c r="B157" s="33" t="s">
        <v>2580</v>
      </c>
      <c r="C157" s="33" t="s">
        <v>1891</v>
      </c>
      <c r="D157" s="35">
        <v>51875</v>
      </c>
      <c r="E157" s="35"/>
      <c r="F157" s="35"/>
      <c r="G157" s="33" t="s">
        <v>1892</v>
      </c>
      <c r="H157" s="33" t="s">
        <v>1893</v>
      </c>
    </row>
    <row r="158" spans="2:8" x14ac:dyDescent="0.35">
      <c r="B158" s="33" t="s">
        <v>2580</v>
      </c>
      <c r="C158" s="33" t="s">
        <v>1876</v>
      </c>
      <c r="D158" s="35">
        <v>51859</v>
      </c>
      <c r="E158" s="35"/>
      <c r="F158" s="35"/>
      <c r="G158" s="33" t="s">
        <v>1877</v>
      </c>
      <c r="H158" s="33" t="s">
        <v>1878</v>
      </c>
    </row>
    <row r="159" spans="2:8" x14ac:dyDescent="0.35">
      <c r="B159" s="33" t="s">
        <v>2580</v>
      </c>
      <c r="C159" s="33" t="s">
        <v>1846</v>
      </c>
      <c r="D159" s="35">
        <v>51685</v>
      </c>
      <c r="E159" s="35"/>
      <c r="F159" s="35"/>
      <c r="G159" s="33" t="s">
        <v>1847</v>
      </c>
      <c r="H159" s="33" t="s">
        <v>1848</v>
      </c>
    </row>
    <row r="160" spans="2:8" x14ac:dyDescent="0.35">
      <c r="B160" s="33" t="s">
        <v>2580</v>
      </c>
      <c r="C160" s="33" t="s">
        <v>1885</v>
      </c>
      <c r="D160" s="35">
        <v>51529</v>
      </c>
      <c r="E160" s="35"/>
      <c r="F160" s="35"/>
      <c r="G160" s="33" t="s">
        <v>1886</v>
      </c>
      <c r="H160" s="33" t="s">
        <v>1887</v>
      </c>
    </row>
    <row r="161" spans="2:8" x14ac:dyDescent="0.35">
      <c r="B161" s="33" t="s">
        <v>2580</v>
      </c>
      <c r="C161" s="33" t="s">
        <v>1849</v>
      </c>
      <c r="D161" s="35">
        <v>51500</v>
      </c>
      <c r="E161" s="35"/>
      <c r="F161" s="35"/>
      <c r="G161" s="33" t="s">
        <v>1850</v>
      </c>
      <c r="H161" s="33" t="s">
        <v>1851</v>
      </c>
    </row>
    <row r="162" spans="2:8" x14ac:dyDescent="0.35">
      <c r="B162" s="33" t="s">
        <v>2580</v>
      </c>
      <c r="C162" s="33" t="s">
        <v>1899</v>
      </c>
      <c r="D162" s="35">
        <v>51420</v>
      </c>
      <c r="E162" s="35"/>
      <c r="F162" s="35"/>
      <c r="G162" s="33" t="s">
        <v>1900</v>
      </c>
      <c r="H162" s="33" t="s">
        <v>1901</v>
      </c>
    </row>
    <row r="163" spans="2:8" x14ac:dyDescent="0.35">
      <c r="B163" s="33" t="s">
        <v>2580</v>
      </c>
      <c r="C163" s="33" t="s">
        <v>2073</v>
      </c>
      <c r="D163" s="35">
        <v>51359</v>
      </c>
      <c r="E163" s="34"/>
      <c r="F163" s="34"/>
      <c r="G163" s="33" t="s">
        <v>1874</v>
      </c>
      <c r="H163" s="33" t="s">
        <v>1875</v>
      </c>
    </row>
    <row r="164" spans="2:8" x14ac:dyDescent="0.35">
      <c r="B164" s="33" t="s">
        <v>2580</v>
      </c>
      <c r="C164" s="33" t="s">
        <v>1879</v>
      </c>
      <c r="D164" s="35">
        <v>51322</v>
      </c>
      <c r="E164" s="35"/>
      <c r="F164" s="35"/>
      <c r="G164" s="33" t="s">
        <v>1880</v>
      </c>
      <c r="H164" s="33" t="s">
        <v>1881</v>
      </c>
    </row>
    <row r="165" spans="2:8" x14ac:dyDescent="0.35">
      <c r="B165" s="33" t="s">
        <v>2580</v>
      </c>
      <c r="C165" s="33" t="s">
        <v>1843</v>
      </c>
      <c r="D165" s="35">
        <v>51250</v>
      </c>
      <c r="E165" s="35"/>
      <c r="F165" s="35"/>
      <c r="G165" s="33" t="s">
        <v>1844</v>
      </c>
      <c r="H165" s="33" t="s">
        <v>1845</v>
      </c>
    </row>
    <row r="166" spans="2:8" x14ac:dyDescent="0.35">
      <c r="B166" s="33" t="s">
        <v>2580</v>
      </c>
      <c r="C166" s="33" t="s">
        <v>1871</v>
      </c>
      <c r="D166" s="35">
        <v>51134</v>
      </c>
      <c r="E166" s="35"/>
      <c r="F166" s="35"/>
      <c r="G166" s="33" t="s">
        <v>1872</v>
      </c>
      <c r="H166" s="33" t="s">
        <v>1873</v>
      </c>
    </row>
    <row r="167" spans="2:8" x14ac:dyDescent="0.35">
      <c r="B167" s="33" t="s">
        <v>2580</v>
      </c>
      <c r="C167" s="33" t="s">
        <v>1836</v>
      </c>
      <c r="D167" s="35">
        <v>50663</v>
      </c>
      <c r="E167" s="35"/>
      <c r="F167" s="35"/>
      <c r="G167" s="33" t="s">
        <v>1837</v>
      </c>
      <c r="H167" s="33" t="s">
        <v>1838</v>
      </c>
    </row>
    <row r="168" spans="2:8" x14ac:dyDescent="0.35">
      <c r="B168" s="33" t="s">
        <v>2580</v>
      </c>
      <c r="C168" s="33" t="s">
        <v>1795</v>
      </c>
      <c r="D168" s="35">
        <v>50592</v>
      </c>
      <c r="E168" s="35"/>
      <c r="F168" s="35"/>
      <c r="G168" s="33" t="s">
        <v>1796</v>
      </c>
      <c r="H168" s="33" t="s">
        <v>1797</v>
      </c>
    </row>
    <row r="169" spans="2:8" x14ac:dyDescent="0.35">
      <c r="B169" s="33" t="s">
        <v>2580</v>
      </c>
      <c r="C169" s="33" t="s">
        <v>2591</v>
      </c>
      <c r="D169" s="35">
        <v>50482</v>
      </c>
      <c r="E169" s="35"/>
      <c r="F169" s="35"/>
      <c r="G169" s="33" t="s">
        <v>1911</v>
      </c>
      <c r="H169" s="33" t="s">
        <v>1912</v>
      </c>
    </row>
    <row r="170" spans="2:8" x14ac:dyDescent="0.35">
      <c r="B170" s="33" t="s">
        <v>2580</v>
      </c>
      <c r="C170" s="33" t="s">
        <v>1964</v>
      </c>
      <c r="D170" s="35">
        <v>50260</v>
      </c>
      <c r="E170" s="35"/>
      <c r="F170" s="35"/>
      <c r="G170" s="33" t="s">
        <v>1965</v>
      </c>
      <c r="H170" s="33" t="s">
        <v>1966</v>
      </c>
    </row>
    <row r="171" spans="2:8" x14ac:dyDescent="0.35">
      <c r="B171" s="33" t="s">
        <v>2580</v>
      </c>
      <c r="C171" s="33" t="s">
        <v>1913</v>
      </c>
      <c r="D171" s="35">
        <v>50253</v>
      </c>
      <c r="E171" s="35"/>
      <c r="F171" s="35"/>
      <c r="G171" s="33" t="s">
        <v>1914</v>
      </c>
      <c r="H171" s="33" t="s">
        <v>1915</v>
      </c>
    </row>
    <row r="172" spans="2:8" x14ac:dyDescent="0.35">
      <c r="B172" s="33" t="s">
        <v>2580</v>
      </c>
      <c r="C172" s="33" t="s">
        <v>1841</v>
      </c>
      <c r="D172" s="35">
        <v>50250</v>
      </c>
      <c r="E172" s="35"/>
      <c r="F172" s="35"/>
      <c r="G172" s="33" t="s">
        <v>654</v>
      </c>
      <c r="H172" s="33" t="s">
        <v>1842</v>
      </c>
    </row>
    <row r="173" spans="2:8" x14ac:dyDescent="0.35">
      <c r="B173" s="33" t="s">
        <v>2580</v>
      </c>
      <c r="C173" s="33" t="s">
        <v>392</v>
      </c>
      <c r="D173" s="35">
        <v>50124</v>
      </c>
      <c r="E173" s="35"/>
      <c r="F173" s="35"/>
      <c r="G173" s="33" t="s">
        <v>393</v>
      </c>
      <c r="H173" s="33" t="s">
        <v>394</v>
      </c>
    </row>
    <row r="174" spans="2:8" x14ac:dyDescent="0.35">
      <c r="B174" s="33" t="s">
        <v>2580</v>
      </c>
      <c r="C174" s="33" t="s">
        <v>1855</v>
      </c>
      <c r="D174" s="35">
        <v>50000</v>
      </c>
      <c r="E174" s="35"/>
      <c r="F174" s="35"/>
      <c r="G174" s="33" t="s">
        <v>1424</v>
      </c>
      <c r="H174" s="33" t="s">
        <v>1425</v>
      </c>
    </row>
    <row r="175" spans="2:8" x14ac:dyDescent="0.35">
      <c r="B175" s="33" t="s">
        <v>2580</v>
      </c>
      <c r="C175" s="33" t="s">
        <v>1856</v>
      </c>
      <c r="D175" s="35">
        <v>50000</v>
      </c>
      <c r="E175" s="35"/>
      <c r="F175" s="35"/>
      <c r="G175" s="33" t="s">
        <v>1857</v>
      </c>
      <c r="H175" s="33" t="s">
        <v>1858</v>
      </c>
    </row>
    <row r="176" spans="2:8" x14ac:dyDescent="0.35">
      <c r="B176" s="33" t="s">
        <v>2580</v>
      </c>
      <c r="C176" s="33" t="s">
        <v>1859</v>
      </c>
      <c r="D176" s="35">
        <v>50000</v>
      </c>
      <c r="E176" s="35"/>
      <c r="F176" s="35"/>
      <c r="G176" s="33" t="s">
        <v>1860</v>
      </c>
      <c r="H176" s="33" t="s">
        <v>1861</v>
      </c>
    </row>
    <row r="177" spans="2:8" x14ac:dyDescent="0.35">
      <c r="B177" s="33" t="s">
        <v>2580</v>
      </c>
      <c r="C177" s="33" t="s">
        <v>1864</v>
      </c>
      <c r="D177" s="35">
        <v>49992</v>
      </c>
      <c r="E177" s="35"/>
      <c r="F177" s="35"/>
      <c r="G177" s="33" t="s">
        <v>1866</v>
      </c>
      <c r="H177" s="33" t="s">
        <v>1867</v>
      </c>
    </row>
    <row r="178" spans="2:8" x14ac:dyDescent="0.35">
      <c r="B178" s="33" t="s">
        <v>2580</v>
      </c>
      <c r="C178" s="33" t="s">
        <v>629</v>
      </c>
      <c r="D178" s="35">
        <v>49630</v>
      </c>
      <c r="E178" s="35"/>
      <c r="F178" s="35"/>
      <c r="G178" s="33" t="s">
        <v>630</v>
      </c>
      <c r="H178" s="33" t="s">
        <v>631</v>
      </c>
    </row>
    <row r="179" spans="2:8" x14ac:dyDescent="0.35">
      <c r="B179" s="33" t="s">
        <v>2580</v>
      </c>
      <c r="C179" s="33" t="s">
        <v>1930</v>
      </c>
      <c r="D179" s="35">
        <v>49348</v>
      </c>
      <c r="E179" s="35"/>
      <c r="F179" s="35"/>
      <c r="G179" s="33" t="s">
        <v>1931</v>
      </c>
      <c r="H179" s="33" t="s">
        <v>1932</v>
      </c>
    </row>
    <row r="180" spans="2:8" x14ac:dyDescent="0.35">
      <c r="B180" s="33" t="s">
        <v>2580</v>
      </c>
      <c r="C180" s="33" t="s">
        <v>1923</v>
      </c>
      <c r="D180" s="35">
        <v>49305</v>
      </c>
      <c r="E180" s="35"/>
      <c r="F180" s="35"/>
      <c r="G180" s="33" t="s">
        <v>1453</v>
      </c>
      <c r="H180" s="33" t="s">
        <v>1454</v>
      </c>
    </row>
    <row r="181" spans="2:8" x14ac:dyDescent="0.35">
      <c r="B181" s="33" t="s">
        <v>2580</v>
      </c>
      <c r="C181" s="33" t="s">
        <v>1902</v>
      </c>
      <c r="D181" s="35">
        <v>49247</v>
      </c>
      <c r="E181" s="35"/>
      <c r="F181" s="35"/>
      <c r="G181" s="33" t="s">
        <v>1903</v>
      </c>
      <c r="H181" s="33" t="s">
        <v>1904</v>
      </c>
    </row>
    <row r="182" spans="2:8" x14ac:dyDescent="0.35">
      <c r="B182" s="33" t="s">
        <v>2580</v>
      </c>
      <c r="C182" s="33" t="s">
        <v>1888</v>
      </c>
      <c r="D182" s="35">
        <v>49238</v>
      </c>
      <c r="E182" s="34"/>
      <c r="F182" s="34"/>
      <c r="G182" s="33" t="s">
        <v>1889</v>
      </c>
      <c r="H182" s="33" t="s">
        <v>1890</v>
      </c>
    </row>
    <row r="183" spans="2:8" x14ac:dyDescent="0.35">
      <c r="B183" s="33" t="s">
        <v>2580</v>
      </c>
      <c r="C183" s="33" t="s">
        <v>1905</v>
      </c>
      <c r="D183" s="35">
        <v>49208</v>
      </c>
      <c r="E183" s="35"/>
      <c r="F183" s="35"/>
      <c r="G183" s="33" t="s">
        <v>1906</v>
      </c>
      <c r="H183" s="33" t="s">
        <v>1907</v>
      </c>
    </row>
    <row r="184" spans="2:8" x14ac:dyDescent="0.35">
      <c r="B184" s="33" t="s">
        <v>2580</v>
      </c>
      <c r="C184" s="33" t="s">
        <v>1945</v>
      </c>
      <c r="D184" s="35">
        <v>48924</v>
      </c>
      <c r="E184" s="35"/>
      <c r="F184" s="35"/>
      <c r="G184" s="33" t="s">
        <v>1946</v>
      </c>
      <c r="H184" s="33" t="s">
        <v>1947</v>
      </c>
    </row>
    <row r="185" spans="2:8" x14ac:dyDescent="0.35">
      <c r="B185" s="33" t="s">
        <v>2580</v>
      </c>
      <c r="C185" s="33" t="s">
        <v>1954</v>
      </c>
      <c r="D185" s="35">
        <v>48838</v>
      </c>
      <c r="E185" s="35"/>
      <c r="F185" s="35"/>
      <c r="G185" s="33" t="s">
        <v>1472</v>
      </c>
      <c r="H185" s="33" t="s">
        <v>1473</v>
      </c>
    </row>
    <row r="186" spans="2:8" x14ac:dyDescent="0.35">
      <c r="B186" s="33" t="s">
        <v>2580</v>
      </c>
      <c r="C186" s="33" t="s">
        <v>1939</v>
      </c>
      <c r="D186" s="35">
        <v>48747</v>
      </c>
      <c r="E186" s="35"/>
      <c r="F186" s="35"/>
      <c r="G186" s="33" t="s">
        <v>1940</v>
      </c>
      <c r="H186" s="33" t="s">
        <v>1941</v>
      </c>
    </row>
    <row r="187" spans="2:8" x14ac:dyDescent="0.35">
      <c r="B187" s="33" t="s">
        <v>2580</v>
      </c>
      <c r="C187" s="33" t="s">
        <v>1958</v>
      </c>
      <c r="D187" s="35">
        <v>48669</v>
      </c>
      <c r="E187" s="35"/>
      <c r="F187" s="35"/>
      <c r="G187" s="33" t="s">
        <v>1959</v>
      </c>
      <c r="H187" s="33" t="s">
        <v>1960</v>
      </c>
    </row>
    <row r="188" spans="2:8" x14ac:dyDescent="0.35">
      <c r="B188" s="33" t="s">
        <v>2580</v>
      </c>
      <c r="C188" s="33" t="s">
        <v>1955</v>
      </c>
      <c r="D188" s="35">
        <v>48581</v>
      </c>
      <c r="E188" s="35"/>
      <c r="F188" s="35"/>
      <c r="G188" s="33" t="s">
        <v>1956</v>
      </c>
      <c r="H188" s="33" t="s">
        <v>1957</v>
      </c>
    </row>
    <row r="189" spans="2:8" x14ac:dyDescent="0.35">
      <c r="B189" s="33" t="s">
        <v>2580</v>
      </c>
      <c r="C189" s="33" t="s">
        <v>1936</v>
      </c>
      <c r="D189" s="35">
        <v>48495</v>
      </c>
      <c r="E189" s="35"/>
      <c r="F189" s="35"/>
      <c r="G189" s="33" t="s">
        <v>1937</v>
      </c>
      <c r="H189" s="33" t="s">
        <v>1938</v>
      </c>
    </row>
    <row r="190" spans="2:8" x14ac:dyDescent="0.35">
      <c r="B190" s="33" t="s">
        <v>2580</v>
      </c>
      <c r="C190" s="33" t="s">
        <v>1970</v>
      </c>
      <c r="D190" s="35">
        <v>48436</v>
      </c>
      <c r="E190" s="35"/>
      <c r="F190" s="35"/>
      <c r="G190" s="33" t="s">
        <v>1971</v>
      </c>
      <c r="H190" s="33" t="s">
        <v>1972</v>
      </c>
    </row>
    <row r="191" spans="2:8" x14ac:dyDescent="0.35">
      <c r="B191" s="33" t="s">
        <v>2580</v>
      </c>
      <c r="C191" s="33" t="s">
        <v>1924</v>
      </c>
      <c r="D191" s="35">
        <v>48414</v>
      </c>
      <c r="E191" s="35"/>
      <c r="F191" s="35"/>
      <c r="G191" s="33" t="s">
        <v>1925</v>
      </c>
      <c r="H191" s="33" t="s">
        <v>1926</v>
      </c>
    </row>
    <row r="192" spans="2:8" x14ac:dyDescent="0.35">
      <c r="B192" s="33" t="s">
        <v>2580</v>
      </c>
      <c r="C192" s="33" t="s">
        <v>1976</v>
      </c>
      <c r="D192" s="35">
        <v>48274</v>
      </c>
      <c r="E192" s="35"/>
      <c r="F192" s="35"/>
      <c r="G192" s="33" t="s">
        <v>1977</v>
      </c>
      <c r="H192" s="33" t="s">
        <v>1978</v>
      </c>
    </row>
    <row r="193" spans="2:8" x14ac:dyDescent="0.35">
      <c r="B193" s="33" t="s">
        <v>2580</v>
      </c>
      <c r="C193" s="33" t="s">
        <v>639</v>
      </c>
      <c r="D193" s="35">
        <v>48125</v>
      </c>
      <c r="E193" s="35"/>
      <c r="F193" s="35"/>
      <c r="G193" s="33" t="s">
        <v>1621</v>
      </c>
      <c r="H193" s="33" t="s">
        <v>1622</v>
      </c>
    </row>
    <row r="194" spans="2:8" x14ac:dyDescent="0.35">
      <c r="B194" s="33" t="s">
        <v>2580</v>
      </c>
      <c r="C194" s="33" t="s">
        <v>1933</v>
      </c>
      <c r="D194" s="35">
        <v>48119</v>
      </c>
      <c r="E194" s="35"/>
      <c r="F194" s="35"/>
      <c r="G194" s="33" t="s">
        <v>1934</v>
      </c>
      <c r="H194" s="33" t="s">
        <v>1935</v>
      </c>
    </row>
    <row r="195" spans="2:8" x14ac:dyDescent="0.35">
      <c r="B195" s="33" t="s">
        <v>2580</v>
      </c>
      <c r="C195" s="33" t="s">
        <v>2030</v>
      </c>
      <c r="D195" s="35">
        <v>48075</v>
      </c>
      <c r="E195" s="35"/>
      <c r="F195" s="35"/>
      <c r="G195" s="33" t="s">
        <v>2031</v>
      </c>
      <c r="H195" s="33" t="s">
        <v>2032</v>
      </c>
    </row>
    <row r="196" spans="2:8" x14ac:dyDescent="0.35">
      <c r="B196" s="33" t="s">
        <v>2580</v>
      </c>
      <c r="C196" s="33" t="s">
        <v>1908</v>
      </c>
      <c r="D196" s="35">
        <v>48000</v>
      </c>
      <c r="E196" s="35"/>
      <c r="F196" s="35"/>
      <c r="G196" s="33" t="s">
        <v>1909</v>
      </c>
      <c r="H196" s="33" t="s">
        <v>1910</v>
      </c>
    </row>
    <row r="197" spans="2:8" x14ac:dyDescent="0.35">
      <c r="B197" s="33" t="s">
        <v>2580</v>
      </c>
      <c r="C197" s="33" t="s">
        <v>634</v>
      </c>
      <c r="D197" s="35">
        <v>48000</v>
      </c>
      <c r="E197" s="35"/>
      <c r="F197" s="35"/>
      <c r="G197" s="33" t="s">
        <v>1982</v>
      </c>
      <c r="H197" s="33" t="s">
        <v>1983</v>
      </c>
    </row>
    <row r="198" spans="2:8" x14ac:dyDescent="0.35">
      <c r="B198" s="33" t="s">
        <v>2580</v>
      </c>
      <c r="C198" s="33" t="s">
        <v>1852</v>
      </c>
      <c r="D198" s="35">
        <v>48000</v>
      </c>
      <c r="E198" s="35"/>
      <c r="F198" s="35"/>
      <c r="G198" s="33" t="s">
        <v>1853</v>
      </c>
      <c r="H198" s="33" t="s">
        <v>1854</v>
      </c>
    </row>
    <row r="199" spans="2:8" x14ac:dyDescent="0.35">
      <c r="B199" s="33" t="s">
        <v>2580</v>
      </c>
      <c r="C199" s="33" t="s">
        <v>2146</v>
      </c>
      <c r="D199" s="35">
        <v>47978</v>
      </c>
      <c r="E199" s="34"/>
      <c r="F199" s="34"/>
      <c r="G199" s="33" t="s">
        <v>2147</v>
      </c>
      <c r="H199" s="33" t="s">
        <v>2148</v>
      </c>
    </row>
    <row r="200" spans="2:8" x14ac:dyDescent="0.35">
      <c r="B200" s="33" t="s">
        <v>2580</v>
      </c>
      <c r="C200" s="33" t="s">
        <v>2042</v>
      </c>
      <c r="D200" s="35">
        <v>47870</v>
      </c>
      <c r="E200" s="35"/>
      <c r="F200" s="35"/>
      <c r="G200" s="33" t="s">
        <v>1478</v>
      </c>
      <c r="H200" s="33" t="s">
        <v>1479</v>
      </c>
    </row>
    <row r="201" spans="2:8" x14ac:dyDescent="0.35">
      <c r="B201" s="33" t="s">
        <v>2580</v>
      </c>
      <c r="C201" s="33" t="s">
        <v>1895</v>
      </c>
      <c r="D201" s="35">
        <v>47714</v>
      </c>
      <c r="E201" s="35"/>
      <c r="F201" s="35"/>
      <c r="G201" s="33" t="s">
        <v>1896</v>
      </c>
      <c r="H201" s="33" t="s">
        <v>1897</v>
      </c>
    </row>
    <row r="202" spans="2:8" x14ac:dyDescent="0.35">
      <c r="B202" s="33" t="s">
        <v>2580</v>
      </c>
      <c r="C202" s="33" t="s">
        <v>1951</v>
      </c>
      <c r="D202" s="35">
        <v>47688</v>
      </c>
      <c r="E202" s="35"/>
      <c r="F202" s="35"/>
      <c r="G202" s="33" t="s">
        <v>1952</v>
      </c>
      <c r="H202" s="33" t="s">
        <v>1953</v>
      </c>
    </row>
    <row r="203" spans="2:8" x14ac:dyDescent="0.35">
      <c r="B203" s="33" t="s">
        <v>2580</v>
      </c>
      <c r="C203" s="33" t="s">
        <v>1942</v>
      </c>
      <c r="D203" s="35">
        <v>47640</v>
      </c>
      <c r="E203" s="35"/>
      <c r="F203" s="35"/>
      <c r="G203" s="33" t="s">
        <v>1943</v>
      </c>
      <c r="H203" s="33" t="s">
        <v>1944</v>
      </c>
    </row>
    <row r="204" spans="2:8" x14ac:dyDescent="0.35">
      <c r="B204" s="33" t="s">
        <v>2580</v>
      </c>
      <c r="C204" s="33" t="s">
        <v>1993</v>
      </c>
      <c r="D204" s="35">
        <v>47223</v>
      </c>
      <c r="E204" s="35"/>
      <c r="F204" s="35"/>
      <c r="G204" s="33" t="s">
        <v>1481</v>
      </c>
      <c r="H204" s="33" t="s">
        <v>1482</v>
      </c>
    </row>
    <row r="205" spans="2:8" x14ac:dyDescent="0.35">
      <c r="B205" s="33" t="s">
        <v>2580</v>
      </c>
      <c r="C205" s="33" t="s">
        <v>1979</v>
      </c>
      <c r="D205" s="35">
        <v>47000</v>
      </c>
      <c r="E205" s="35"/>
      <c r="F205" s="35"/>
      <c r="G205" s="33" t="s">
        <v>1980</v>
      </c>
      <c r="H205" s="33" t="s">
        <v>1981</v>
      </c>
    </row>
    <row r="206" spans="2:8" x14ac:dyDescent="0.35">
      <c r="B206" s="33" t="s">
        <v>2580</v>
      </c>
      <c r="C206" s="33" t="s">
        <v>1973</v>
      </c>
      <c r="D206" s="35">
        <v>46960</v>
      </c>
      <c r="E206" s="35"/>
      <c r="F206" s="35"/>
      <c r="G206" s="33" t="s">
        <v>1974</v>
      </c>
      <c r="H206" s="33" t="s">
        <v>1975</v>
      </c>
    </row>
    <row r="207" spans="2:8" x14ac:dyDescent="0.35">
      <c r="B207" s="33" t="s">
        <v>2580</v>
      </c>
      <c r="C207" s="33" t="s">
        <v>1990</v>
      </c>
      <c r="D207" s="35">
        <v>46813</v>
      </c>
      <c r="E207" s="35"/>
      <c r="F207" s="35"/>
      <c r="G207" s="33" t="s">
        <v>1991</v>
      </c>
      <c r="H207" s="33" t="s">
        <v>1992</v>
      </c>
    </row>
    <row r="208" spans="2:8" x14ac:dyDescent="0.35">
      <c r="B208" s="33" t="s">
        <v>2584</v>
      </c>
      <c r="C208" s="33" t="s">
        <v>1994</v>
      </c>
      <c r="D208" s="35">
        <v>46600</v>
      </c>
      <c r="E208" s="35"/>
      <c r="F208" s="35"/>
      <c r="G208" s="33" t="s">
        <v>1995</v>
      </c>
      <c r="H208" s="33" t="s">
        <v>1996</v>
      </c>
    </row>
    <row r="209" spans="2:8" x14ac:dyDescent="0.35">
      <c r="B209" s="33" t="s">
        <v>2580</v>
      </c>
      <c r="C209" s="33" t="s">
        <v>1984</v>
      </c>
      <c r="D209" s="35">
        <v>46563</v>
      </c>
      <c r="E209" s="35"/>
      <c r="F209" s="35"/>
      <c r="G209" s="33" t="s">
        <v>1985</v>
      </c>
      <c r="H209" s="33" t="s">
        <v>1986</v>
      </c>
    </row>
    <row r="210" spans="2:8" x14ac:dyDescent="0.35">
      <c r="B210" s="33" t="s">
        <v>2580</v>
      </c>
      <c r="C210" s="33" t="s">
        <v>1916</v>
      </c>
      <c r="D210" s="35">
        <v>46550</v>
      </c>
      <c r="E210" s="35"/>
      <c r="F210" s="35"/>
      <c r="G210" s="33" t="s">
        <v>1917</v>
      </c>
      <c r="H210" s="33" t="s">
        <v>1918</v>
      </c>
    </row>
    <row r="211" spans="2:8" x14ac:dyDescent="0.35">
      <c r="B211" s="33" t="s">
        <v>2580</v>
      </c>
      <c r="C211" s="33" t="s">
        <v>2077</v>
      </c>
      <c r="D211" s="35">
        <v>46341</v>
      </c>
      <c r="E211" s="35"/>
      <c r="F211" s="35"/>
      <c r="G211" s="33" t="s">
        <v>2078</v>
      </c>
      <c r="H211" s="33" t="s">
        <v>2079</v>
      </c>
    </row>
    <row r="212" spans="2:8" x14ac:dyDescent="0.35">
      <c r="B212" s="33" t="s">
        <v>2580</v>
      </c>
      <c r="C212" s="33" t="s">
        <v>1961</v>
      </c>
      <c r="D212" s="35">
        <v>46250</v>
      </c>
      <c r="E212" s="35"/>
      <c r="F212" s="35"/>
      <c r="G212" s="33" t="s">
        <v>1962</v>
      </c>
      <c r="H212" s="33" t="s">
        <v>1963</v>
      </c>
    </row>
    <row r="213" spans="2:8" x14ac:dyDescent="0.35">
      <c r="B213" s="33" t="s">
        <v>2580</v>
      </c>
      <c r="C213" s="33" t="s">
        <v>1967</v>
      </c>
      <c r="D213" s="35">
        <v>46160</v>
      </c>
      <c r="E213" s="35"/>
      <c r="F213" s="35"/>
      <c r="G213" s="33" t="s">
        <v>1968</v>
      </c>
      <c r="H213" s="33" t="s">
        <v>1969</v>
      </c>
    </row>
    <row r="214" spans="2:8" x14ac:dyDescent="0.35">
      <c r="B214" s="33" t="s">
        <v>2580</v>
      </c>
      <c r="C214" s="33" t="s">
        <v>636</v>
      </c>
      <c r="D214" s="35">
        <v>45817</v>
      </c>
      <c r="E214" s="35"/>
      <c r="F214" s="35"/>
      <c r="G214" s="33" t="s">
        <v>637</v>
      </c>
      <c r="H214" s="33" t="s">
        <v>638</v>
      </c>
    </row>
    <row r="215" spans="2:8" x14ac:dyDescent="0.35">
      <c r="B215" s="33" t="s">
        <v>2580</v>
      </c>
      <c r="C215" s="33" t="s">
        <v>2109</v>
      </c>
      <c r="D215" s="35">
        <v>45771</v>
      </c>
      <c r="E215" s="35"/>
      <c r="F215" s="35"/>
      <c r="G215" s="33" t="s">
        <v>2110</v>
      </c>
      <c r="H215" s="33" t="s">
        <v>2111</v>
      </c>
    </row>
    <row r="216" spans="2:8" x14ac:dyDescent="0.35">
      <c r="B216" s="33" t="s">
        <v>2580</v>
      </c>
      <c r="C216" s="33" t="s">
        <v>1987</v>
      </c>
      <c r="D216" s="35">
        <v>45500</v>
      </c>
      <c r="E216" s="34"/>
      <c r="F216" s="34"/>
      <c r="G216" s="33" t="s">
        <v>1988</v>
      </c>
      <c r="H216" s="33" t="s">
        <v>1989</v>
      </c>
    </row>
    <row r="217" spans="2:8" x14ac:dyDescent="0.35">
      <c r="B217" s="33" t="s">
        <v>2580</v>
      </c>
      <c r="C217" s="33" t="s">
        <v>2005</v>
      </c>
      <c r="D217" s="35">
        <v>45445</v>
      </c>
      <c r="E217" s="35"/>
      <c r="F217" s="35"/>
      <c r="G217" s="33" t="s">
        <v>2006</v>
      </c>
      <c r="H217" s="33" t="s">
        <v>2007</v>
      </c>
    </row>
    <row r="218" spans="2:8" x14ac:dyDescent="0.35">
      <c r="B218" s="33" t="s">
        <v>2580</v>
      </c>
      <c r="C218" s="33" t="s">
        <v>2027</v>
      </c>
      <c r="D218" s="35">
        <v>45296</v>
      </c>
      <c r="E218" s="35"/>
      <c r="F218" s="35"/>
      <c r="G218" s="33" t="s">
        <v>2028</v>
      </c>
      <c r="H218" s="33" t="s">
        <v>2029</v>
      </c>
    </row>
    <row r="219" spans="2:8" x14ac:dyDescent="0.35">
      <c r="B219" s="33" t="s">
        <v>2580</v>
      </c>
      <c r="C219" s="33" t="s">
        <v>2018</v>
      </c>
      <c r="D219" s="35">
        <v>45063</v>
      </c>
      <c r="E219" s="35"/>
      <c r="F219" s="35"/>
      <c r="G219" s="33" t="s">
        <v>2019</v>
      </c>
      <c r="H219" s="33" t="s">
        <v>2020</v>
      </c>
    </row>
    <row r="220" spans="2:8" x14ac:dyDescent="0.35">
      <c r="B220" s="33" t="s">
        <v>2580</v>
      </c>
      <c r="C220" s="33" t="s">
        <v>2089</v>
      </c>
      <c r="D220" s="35">
        <v>45000</v>
      </c>
      <c r="E220" s="35"/>
      <c r="F220" s="35"/>
      <c r="G220" s="33" t="s">
        <v>2090</v>
      </c>
      <c r="H220" s="33" t="s">
        <v>2091</v>
      </c>
    </row>
    <row r="221" spans="2:8" x14ac:dyDescent="0.35">
      <c r="B221" s="33" t="s">
        <v>2580</v>
      </c>
      <c r="C221" s="33" t="s">
        <v>31</v>
      </c>
      <c r="D221" s="35">
        <v>45000</v>
      </c>
      <c r="E221" s="35"/>
      <c r="F221" s="35"/>
      <c r="G221" s="33" t="s">
        <v>1862</v>
      </c>
      <c r="H221" s="33" t="s">
        <v>1863</v>
      </c>
    </row>
    <row r="222" spans="2:8" x14ac:dyDescent="0.35">
      <c r="B222" s="33" t="s">
        <v>2580</v>
      </c>
      <c r="C222" s="33" t="s">
        <v>44</v>
      </c>
      <c r="D222" s="35">
        <v>45000</v>
      </c>
      <c r="E222" s="35"/>
      <c r="F222" s="35"/>
      <c r="G222" s="33" t="s">
        <v>2025</v>
      </c>
      <c r="H222" s="33" t="s">
        <v>2026</v>
      </c>
    </row>
    <row r="223" spans="2:8" x14ac:dyDescent="0.35">
      <c r="B223" s="33" t="s">
        <v>2580</v>
      </c>
      <c r="C223" s="33" t="s">
        <v>2048</v>
      </c>
      <c r="D223" s="35">
        <v>44820</v>
      </c>
      <c r="E223" s="35"/>
      <c r="F223" s="35"/>
      <c r="G223" s="33" t="s">
        <v>2049</v>
      </c>
      <c r="H223" s="33" t="s">
        <v>2050</v>
      </c>
    </row>
    <row r="224" spans="2:8" x14ac:dyDescent="0.35">
      <c r="B224" s="33" t="s">
        <v>2580</v>
      </c>
      <c r="C224" s="33" t="s">
        <v>2057</v>
      </c>
      <c r="D224" s="35">
        <v>44625</v>
      </c>
      <c r="E224" s="34"/>
      <c r="F224" s="34"/>
      <c r="G224" s="33" t="s">
        <v>2058</v>
      </c>
      <c r="H224" s="33" t="s">
        <v>2059</v>
      </c>
    </row>
    <row r="225" spans="2:8" x14ac:dyDescent="0.35">
      <c r="B225" s="33" t="s">
        <v>2580</v>
      </c>
      <c r="C225" s="33" t="s">
        <v>2060</v>
      </c>
      <c r="D225" s="35">
        <v>44500</v>
      </c>
      <c r="E225" s="35"/>
      <c r="F225" s="35"/>
      <c r="G225" s="33" t="s">
        <v>2061</v>
      </c>
      <c r="H225" s="33" t="s">
        <v>2062</v>
      </c>
    </row>
    <row r="226" spans="2:8" x14ac:dyDescent="0.35">
      <c r="B226" s="33" t="s">
        <v>2580</v>
      </c>
      <c r="C226" s="33" t="s">
        <v>2068</v>
      </c>
      <c r="D226" s="35">
        <v>44432</v>
      </c>
      <c r="E226" s="35"/>
      <c r="F226" s="35"/>
      <c r="G226" s="33" t="s">
        <v>2069</v>
      </c>
      <c r="H226" s="33" t="s">
        <v>2070</v>
      </c>
    </row>
    <row r="227" spans="2:8" x14ac:dyDescent="0.35">
      <c r="B227" s="33" t="s">
        <v>2580</v>
      </c>
      <c r="C227" s="33" t="s">
        <v>1798</v>
      </c>
      <c r="D227" s="35">
        <v>44305</v>
      </c>
      <c r="E227" s="35"/>
      <c r="F227" s="35"/>
      <c r="G227" s="33" t="s">
        <v>404</v>
      </c>
      <c r="H227" s="33" t="s">
        <v>405</v>
      </c>
    </row>
    <row r="228" spans="2:8" x14ac:dyDescent="0.35">
      <c r="B228" s="33" t="s">
        <v>2580</v>
      </c>
      <c r="C228" s="33" t="s">
        <v>2002</v>
      </c>
      <c r="D228" s="35">
        <v>44255</v>
      </c>
      <c r="E228" s="35"/>
      <c r="F228" s="35"/>
      <c r="G228" s="33" t="s">
        <v>2003</v>
      </c>
      <c r="H228" s="33" t="s">
        <v>2004</v>
      </c>
    </row>
    <row r="229" spans="2:8" x14ac:dyDescent="0.35">
      <c r="B229" s="33" t="s">
        <v>2580</v>
      </c>
      <c r="C229" s="33" t="s">
        <v>2106</v>
      </c>
      <c r="D229" s="35">
        <v>44244</v>
      </c>
      <c r="E229" s="34"/>
      <c r="F229" s="34"/>
      <c r="G229" s="33" t="s">
        <v>2107</v>
      </c>
      <c r="H229" s="33" t="s">
        <v>2108</v>
      </c>
    </row>
    <row r="230" spans="2:8" x14ac:dyDescent="0.35">
      <c r="B230" s="33" t="s">
        <v>2580</v>
      </c>
      <c r="C230" s="33" t="s">
        <v>2051</v>
      </c>
      <c r="D230" s="35">
        <v>44155</v>
      </c>
      <c r="E230" s="35"/>
      <c r="F230" s="35"/>
      <c r="G230" s="33" t="s">
        <v>2052</v>
      </c>
      <c r="H230" s="33" t="s">
        <v>2053</v>
      </c>
    </row>
    <row r="231" spans="2:8" x14ac:dyDescent="0.35">
      <c r="B231" s="33" t="s">
        <v>2580</v>
      </c>
      <c r="C231" s="33" t="s">
        <v>2065</v>
      </c>
      <c r="D231" s="35">
        <v>43969</v>
      </c>
      <c r="E231" s="35"/>
      <c r="F231" s="35"/>
      <c r="G231" s="33" t="s">
        <v>2066</v>
      </c>
      <c r="H231" s="33" t="s">
        <v>2067</v>
      </c>
    </row>
    <row r="232" spans="2:8" x14ac:dyDescent="0.35">
      <c r="B232" s="33" t="s">
        <v>2580</v>
      </c>
      <c r="C232" s="33" t="s">
        <v>2602</v>
      </c>
      <c r="D232" s="35">
        <v>43928</v>
      </c>
      <c r="E232" s="35"/>
      <c r="F232" s="35"/>
      <c r="G232" s="33" t="s">
        <v>2046</v>
      </c>
      <c r="H232" s="33" t="s">
        <v>2047</v>
      </c>
    </row>
    <row r="233" spans="2:8" x14ac:dyDescent="0.35">
      <c r="B233" s="33" t="s">
        <v>2580</v>
      </c>
      <c r="C233" s="33" t="s">
        <v>2008</v>
      </c>
      <c r="D233" s="35">
        <v>43789</v>
      </c>
      <c r="E233" s="34"/>
      <c r="F233" s="34"/>
      <c r="G233" s="33" t="s">
        <v>2009</v>
      </c>
      <c r="H233" s="33" t="s">
        <v>2010</v>
      </c>
    </row>
    <row r="234" spans="2:8" x14ac:dyDescent="0.35">
      <c r="B234" s="33" t="s">
        <v>2580</v>
      </c>
      <c r="C234" s="33" t="s">
        <v>2011</v>
      </c>
      <c r="D234" s="35">
        <v>43768</v>
      </c>
      <c r="E234" s="35"/>
      <c r="F234" s="35"/>
      <c r="G234" s="33" t="s">
        <v>2012</v>
      </c>
      <c r="H234" s="33" t="s">
        <v>2013</v>
      </c>
    </row>
    <row r="235" spans="2:8" x14ac:dyDescent="0.35">
      <c r="B235" s="33" t="s">
        <v>2580</v>
      </c>
      <c r="C235" s="33" t="s">
        <v>1997</v>
      </c>
      <c r="D235" s="35">
        <v>43715</v>
      </c>
      <c r="E235" s="35"/>
      <c r="F235" s="35"/>
      <c r="G235" s="33" t="s">
        <v>1998</v>
      </c>
      <c r="H235" s="33" t="s">
        <v>1999</v>
      </c>
    </row>
    <row r="236" spans="2:8" x14ac:dyDescent="0.35">
      <c r="B236" s="33" t="s">
        <v>2580</v>
      </c>
      <c r="C236" s="33" t="s">
        <v>2021</v>
      </c>
      <c r="D236" s="35">
        <v>43651</v>
      </c>
      <c r="E236" s="35"/>
      <c r="F236" s="35"/>
      <c r="G236" s="33" t="s">
        <v>2022</v>
      </c>
      <c r="H236" s="33" t="s">
        <v>2023</v>
      </c>
    </row>
    <row r="237" spans="2:8" x14ac:dyDescent="0.35">
      <c r="B237" s="33" t="s">
        <v>2580</v>
      </c>
      <c r="C237" s="33" t="s">
        <v>2086</v>
      </c>
      <c r="D237" s="35">
        <v>43638</v>
      </c>
      <c r="E237" s="35"/>
      <c r="F237" s="35"/>
      <c r="G237" s="33" t="s">
        <v>2087</v>
      </c>
      <c r="H237" s="33" t="s">
        <v>2088</v>
      </c>
    </row>
    <row r="238" spans="2:8" x14ac:dyDescent="0.35">
      <c r="B238" s="33" t="s">
        <v>2580</v>
      </c>
      <c r="C238" s="33" t="s">
        <v>2083</v>
      </c>
      <c r="D238" s="35">
        <v>43500</v>
      </c>
      <c r="E238" s="34"/>
      <c r="F238" s="34"/>
      <c r="G238" s="33" t="s">
        <v>2084</v>
      </c>
      <c r="H238" s="33" t="s">
        <v>2085</v>
      </c>
    </row>
    <row r="239" spans="2:8" x14ac:dyDescent="0.35">
      <c r="B239" s="33" t="s">
        <v>2580</v>
      </c>
      <c r="C239" s="33" t="s">
        <v>2033</v>
      </c>
      <c r="D239" s="35">
        <v>43500</v>
      </c>
      <c r="E239" s="35"/>
      <c r="F239" s="35"/>
      <c r="G239" s="33" t="s">
        <v>2034</v>
      </c>
      <c r="H239" s="33" t="s">
        <v>2035</v>
      </c>
    </row>
    <row r="240" spans="2:8" x14ac:dyDescent="0.35">
      <c r="B240" s="33" t="s">
        <v>2580</v>
      </c>
      <c r="C240" s="33" t="s">
        <v>2074</v>
      </c>
      <c r="D240" s="35">
        <v>43351</v>
      </c>
      <c r="E240" s="35"/>
      <c r="F240" s="35"/>
      <c r="G240" s="33" t="s">
        <v>2075</v>
      </c>
      <c r="H240" s="33" t="s">
        <v>2076</v>
      </c>
    </row>
    <row r="241" spans="2:8" x14ac:dyDescent="0.35">
      <c r="B241" s="33" t="s">
        <v>2580</v>
      </c>
      <c r="C241" s="33" t="s">
        <v>659</v>
      </c>
      <c r="D241" s="35">
        <v>43138</v>
      </c>
      <c r="E241" s="35"/>
      <c r="F241" s="35"/>
      <c r="G241" s="33" t="s">
        <v>2071</v>
      </c>
      <c r="H241" s="33" t="s">
        <v>2072</v>
      </c>
    </row>
    <row r="242" spans="2:8" x14ac:dyDescent="0.35">
      <c r="B242" s="33" t="s">
        <v>2580</v>
      </c>
      <c r="C242" s="33" t="s">
        <v>2039</v>
      </c>
      <c r="D242" s="35">
        <v>43125</v>
      </c>
      <c r="E242" s="35"/>
      <c r="F242" s="35"/>
      <c r="G242" s="33" t="s">
        <v>2040</v>
      </c>
      <c r="H242" s="33" t="s">
        <v>2041</v>
      </c>
    </row>
    <row r="243" spans="2:8" x14ac:dyDescent="0.35">
      <c r="B243" s="33" t="s">
        <v>2580</v>
      </c>
      <c r="C243" s="33" t="s">
        <v>2143</v>
      </c>
      <c r="D243" s="35">
        <v>43051</v>
      </c>
      <c r="E243" s="35"/>
      <c r="F243" s="35"/>
      <c r="G243" s="33" t="s">
        <v>2044</v>
      </c>
      <c r="H243" s="33" t="s">
        <v>2045</v>
      </c>
    </row>
    <row r="244" spans="2:8" x14ac:dyDescent="0.35">
      <c r="B244" s="33" t="s">
        <v>2580</v>
      </c>
      <c r="C244" s="33" t="s">
        <v>2080</v>
      </c>
      <c r="D244" s="35">
        <v>43000</v>
      </c>
      <c r="E244" s="35"/>
      <c r="F244" s="35"/>
      <c r="G244" s="33" t="s">
        <v>2081</v>
      </c>
      <c r="H244" s="33" t="s">
        <v>2082</v>
      </c>
    </row>
    <row r="245" spans="2:8" x14ac:dyDescent="0.35">
      <c r="B245" s="33" t="s">
        <v>2580</v>
      </c>
      <c r="C245" s="33" t="s">
        <v>2054</v>
      </c>
      <c r="D245" s="35">
        <v>42863</v>
      </c>
      <c r="E245" s="35"/>
      <c r="F245" s="35"/>
      <c r="G245" s="33" t="s">
        <v>2055</v>
      </c>
      <c r="H245" s="33" t="s">
        <v>2056</v>
      </c>
    </row>
    <row r="246" spans="2:8" x14ac:dyDescent="0.35">
      <c r="B246" s="33" t="s">
        <v>2580</v>
      </c>
      <c r="C246" s="33" t="s">
        <v>2149</v>
      </c>
      <c r="D246" s="35">
        <v>42723</v>
      </c>
      <c r="E246" s="35"/>
      <c r="F246" s="35"/>
      <c r="G246" s="33" t="s">
        <v>2150</v>
      </c>
      <c r="H246" s="33" t="s">
        <v>2151</v>
      </c>
    </row>
    <row r="247" spans="2:8" x14ac:dyDescent="0.35">
      <c r="B247" s="33" t="s">
        <v>2580</v>
      </c>
      <c r="C247" s="33" t="s">
        <v>2123</v>
      </c>
      <c r="D247" s="35">
        <v>42700</v>
      </c>
      <c r="E247" s="35"/>
      <c r="F247" s="35"/>
      <c r="G247" s="33" t="s">
        <v>2124</v>
      </c>
      <c r="H247" s="33" t="s">
        <v>2125</v>
      </c>
    </row>
    <row r="248" spans="2:8" x14ac:dyDescent="0.35">
      <c r="B248" s="33" t="s">
        <v>2580</v>
      </c>
      <c r="C248" s="33" t="s">
        <v>2100</v>
      </c>
      <c r="D248" s="35">
        <v>42625</v>
      </c>
      <c r="E248" s="35"/>
      <c r="F248" s="35"/>
      <c r="G248" s="33" t="s">
        <v>2101</v>
      </c>
      <c r="H248" s="33" t="s">
        <v>2102</v>
      </c>
    </row>
    <row r="249" spans="2:8" x14ac:dyDescent="0.35">
      <c r="B249" s="33" t="s">
        <v>2580</v>
      </c>
      <c r="C249" s="33" t="s">
        <v>628</v>
      </c>
      <c r="D249" s="35">
        <v>42500</v>
      </c>
      <c r="E249" s="35"/>
      <c r="F249" s="35"/>
      <c r="G249" s="33" t="s">
        <v>2016</v>
      </c>
      <c r="H249" s="33" t="s">
        <v>2017</v>
      </c>
    </row>
    <row r="250" spans="2:8" x14ac:dyDescent="0.35">
      <c r="B250" s="33" t="s">
        <v>2580</v>
      </c>
      <c r="C250" s="33" t="s">
        <v>2103</v>
      </c>
      <c r="D250" s="35">
        <v>42170</v>
      </c>
      <c r="E250" s="35"/>
      <c r="F250" s="35"/>
      <c r="G250" s="33" t="s">
        <v>2104</v>
      </c>
      <c r="H250" s="33" t="s">
        <v>2105</v>
      </c>
    </row>
    <row r="251" spans="2:8" x14ac:dyDescent="0.35">
      <c r="B251" s="33" t="s">
        <v>2580</v>
      </c>
      <c r="C251" s="33" t="s">
        <v>2116</v>
      </c>
      <c r="D251" s="35">
        <v>42000</v>
      </c>
      <c r="E251" s="35"/>
      <c r="F251" s="35"/>
      <c r="G251" s="33" t="s">
        <v>1436</v>
      </c>
      <c r="H251" s="33" t="s">
        <v>1437</v>
      </c>
    </row>
    <row r="252" spans="2:8" x14ac:dyDescent="0.35">
      <c r="B252" s="33" t="s">
        <v>2580</v>
      </c>
      <c r="C252" s="33" t="s">
        <v>2117</v>
      </c>
      <c r="D252" s="35">
        <v>41969</v>
      </c>
      <c r="E252" s="35"/>
      <c r="F252" s="35"/>
      <c r="G252" s="33" t="s">
        <v>2118</v>
      </c>
      <c r="H252" s="33" t="s">
        <v>2119</v>
      </c>
    </row>
    <row r="253" spans="2:8" x14ac:dyDescent="0.35">
      <c r="B253" s="33" t="s">
        <v>2580</v>
      </c>
      <c r="C253" s="33" t="s">
        <v>2131</v>
      </c>
      <c r="D253" s="35">
        <v>41875</v>
      </c>
      <c r="E253" s="35"/>
      <c r="F253" s="35"/>
      <c r="G253" s="33" t="s">
        <v>2132</v>
      </c>
      <c r="H253" s="33" t="s">
        <v>2133</v>
      </c>
    </row>
    <row r="254" spans="2:8" x14ac:dyDescent="0.35">
      <c r="B254" s="33" t="s">
        <v>2580</v>
      </c>
      <c r="C254" s="33" t="s">
        <v>1623</v>
      </c>
      <c r="D254" s="35">
        <v>41750</v>
      </c>
      <c r="E254" s="35"/>
      <c r="F254" s="35"/>
      <c r="G254" s="33" t="s">
        <v>2126</v>
      </c>
      <c r="H254" s="33" t="s">
        <v>2127</v>
      </c>
    </row>
    <row r="255" spans="2:8" x14ac:dyDescent="0.35">
      <c r="B255" s="33" t="s">
        <v>2580</v>
      </c>
      <c r="C255" s="33" t="s">
        <v>2063</v>
      </c>
      <c r="D255" s="35">
        <v>41694</v>
      </c>
      <c r="E255" s="35"/>
      <c r="F255" s="35"/>
      <c r="G255" s="33" t="s">
        <v>619</v>
      </c>
      <c r="H255" s="33" t="s">
        <v>2064</v>
      </c>
    </row>
    <row r="256" spans="2:8" x14ac:dyDescent="0.35">
      <c r="B256" s="33" t="s">
        <v>2580</v>
      </c>
      <c r="C256" s="33" t="s">
        <v>2115</v>
      </c>
      <c r="D256" s="35">
        <v>41694</v>
      </c>
      <c r="E256" s="35"/>
      <c r="F256" s="35"/>
      <c r="G256" s="33" t="s">
        <v>1546</v>
      </c>
      <c r="H256" s="33" t="s">
        <v>1547</v>
      </c>
    </row>
    <row r="257" spans="2:8" x14ac:dyDescent="0.35">
      <c r="B257" s="33" t="s">
        <v>2580</v>
      </c>
      <c r="C257" s="33" t="s">
        <v>2134</v>
      </c>
      <c r="D257" s="35">
        <v>41554</v>
      </c>
      <c r="E257" s="35"/>
      <c r="F257" s="35"/>
      <c r="G257" s="33" t="s">
        <v>2135</v>
      </c>
      <c r="H257" s="33" t="s">
        <v>2136</v>
      </c>
    </row>
    <row r="258" spans="2:8" x14ac:dyDescent="0.35">
      <c r="B258" s="33" t="s">
        <v>2580</v>
      </c>
      <c r="C258" s="33" t="s">
        <v>2112</v>
      </c>
      <c r="D258" s="35">
        <v>41200</v>
      </c>
      <c r="E258" s="35"/>
      <c r="F258" s="35"/>
      <c r="G258" s="33" t="s">
        <v>2113</v>
      </c>
      <c r="H258" s="33" t="s">
        <v>2114</v>
      </c>
    </row>
    <row r="259" spans="2:8" x14ac:dyDescent="0.35">
      <c r="B259" s="33" t="s">
        <v>2580</v>
      </c>
      <c r="C259" s="33" t="s">
        <v>2092</v>
      </c>
      <c r="D259" s="35">
        <v>41140</v>
      </c>
      <c r="E259" s="35"/>
      <c r="F259" s="35"/>
      <c r="G259" s="33" t="s">
        <v>2093</v>
      </c>
      <c r="H259" s="33" t="s">
        <v>2094</v>
      </c>
    </row>
    <row r="260" spans="2:8" x14ac:dyDescent="0.35">
      <c r="B260" s="33" t="s">
        <v>2580</v>
      </c>
      <c r="C260" s="33" t="s">
        <v>2097</v>
      </c>
      <c r="D260" s="35">
        <v>41040</v>
      </c>
      <c r="E260" s="35"/>
      <c r="F260" s="35"/>
      <c r="G260" s="33" t="s">
        <v>2098</v>
      </c>
      <c r="H260" s="33" t="s">
        <v>2099</v>
      </c>
    </row>
    <row r="261" spans="2:8" x14ac:dyDescent="0.35">
      <c r="B261" s="33" t="s">
        <v>2580</v>
      </c>
      <c r="C261" s="33" t="s">
        <v>2152</v>
      </c>
      <c r="D261" s="35">
        <v>40836</v>
      </c>
      <c r="E261" s="35"/>
      <c r="F261" s="35"/>
      <c r="G261" s="33" t="s">
        <v>2153</v>
      </c>
      <c r="H261" s="33" t="s">
        <v>2154</v>
      </c>
    </row>
    <row r="262" spans="2:8" x14ac:dyDescent="0.35">
      <c r="B262" s="33" t="s">
        <v>2580</v>
      </c>
      <c r="C262" s="33" t="s">
        <v>408</v>
      </c>
      <c r="D262" s="35">
        <v>40563</v>
      </c>
      <c r="E262" s="35"/>
      <c r="F262" s="35"/>
      <c r="G262" s="33" t="s">
        <v>2000</v>
      </c>
      <c r="H262" s="33" t="s">
        <v>2001</v>
      </c>
    </row>
    <row r="263" spans="2:8" x14ac:dyDescent="0.35">
      <c r="B263" s="33" t="s">
        <v>2580</v>
      </c>
      <c r="C263" s="33" t="s">
        <v>2120</v>
      </c>
      <c r="D263" s="35">
        <v>40170</v>
      </c>
      <c r="E263" s="35"/>
      <c r="F263" s="35"/>
      <c r="G263" s="33" t="s">
        <v>2121</v>
      </c>
      <c r="H263" s="33" t="s">
        <v>2122</v>
      </c>
    </row>
    <row r="264" spans="2:8" x14ac:dyDescent="0.35">
      <c r="B264" s="33" t="s">
        <v>2580</v>
      </c>
      <c r="C264" s="33" t="s">
        <v>2128</v>
      </c>
      <c r="D264" s="35">
        <v>40000</v>
      </c>
      <c r="E264" s="35"/>
      <c r="F264" s="35"/>
      <c r="G264" s="33" t="s">
        <v>2129</v>
      </c>
      <c r="H264" s="33" t="s">
        <v>2130</v>
      </c>
    </row>
    <row r="265" spans="2:8" x14ac:dyDescent="0.35">
      <c r="B265" s="33" t="s">
        <v>2580</v>
      </c>
      <c r="C265" s="33" t="s">
        <v>391</v>
      </c>
      <c r="D265" s="35">
        <v>39802</v>
      </c>
      <c r="E265" s="35"/>
      <c r="F265" s="35"/>
      <c r="G265" s="33" t="s">
        <v>1499</v>
      </c>
      <c r="H265" s="33" t="s">
        <v>1500</v>
      </c>
    </row>
    <row r="266" spans="2:8" x14ac:dyDescent="0.35">
      <c r="B266" s="33" t="s">
        <v>2580</v>
      </c>
      <c r="C266" s="33" t="s">
        <v>414</v>
      </c>
      <c r="D266" s="35">
        <v>39190</v>
      </c>
      <c r="E266" s="35"/>
      <c r="F266" s="35"/>
      <c r="G266" s="33" t="s">
        <v>415</v>
      </c>
      <c r="H266" s="33" t="s">
        <v>416</v>
      </c>
    </row>
    <row r="267" spans="2:8" x14ac:dyDescent="0.35">
      <c r="B267" s="33" t="s">
        <v>2580</v>
      </c>
      <c r="C267" s="33" t="s">
        <v>2409</v>
      </c>
      <c r="D267" s="35">
        <v>38946</v>
      </c>
      <c r="E267" s="34"/>
      <c r="F267" s="34"/>
      <c r="G267" s="33" t="s">
        <v>2158</v>
      </c>
      <c r="H267" s="33" t="s">
        <v>2159</v>
      </c>
    </row>
    <row r="268" spans="2:8" x14ac:dyDescent="0.35">
      <c r="B268" s="33" t="s">
        <v>2580</v>
      </c>
      <c r="C268" s="33" t="s">
        <v>2155</v>
      </c>
      <c r="D268" s="35">
        <v>38879</v>
      </c>
      <c r="E268" s="35"/>
      <c r="F268" s="35"/>
      <c r="G268" s="33" t="s">
        <v>2156</v>
      </c>
      <c r="H268" s="33" t="s">
        <v>2157</v>
      </c>
    </row>
    <row r="269" spans="2:8" x14ac:dyDescent="0.35">
      <c r="B269" s="33" t="s">
        <v>2580</v>
      </c>
      <c r="C269" s="33" t="s">
        <v>2260</v>
      </c>
      <c r="D269" s="35">
        <v>38469</v>
      </c>
      <c r="E269" s="35"/>
      <c r="F269" s="35"/>
      <c r="G269" s="33" t="s">
        <v>2261</v>
      </c>
      <c r="H269" s="33" t="s">
        <v>2262</v>
      </c>
    </row>
    <row r="270" spans="2:8" x14ac:dyDescent="0.35">
      <c r="B270" s="33" t="s">
        <v>2580</v>
      </c>
      <c r="C270" s="33" t="s">
        <v>406</v>
      </c>
      <c r="D270" s="35">
        <v>38446</v>
      </c>
      <c r="E270" s="35"/>
      <c r="F270" s="35"/>
      <c r="G270" s="33" t="s">
        <v>1466</v>
      </c>
      <c r="H270" s="33" t="s">
        <v>407</v>
      </c>
    </row>
    <row r="271" spans="2:8" x14ac:dyDescent="0.35">
      <c r="B271" s="33" t="s">
        <v>2580</v>
      </c>
      <c r="C271" s="33" t="s">
        <v>2595</v>
      </c>
      <c r="D271" s="35">
        <v>38268</v>
      </c>
      <c r="E271" s="35"/>
      <c r="F271" s="35"/>
      <c r="G271" s="33" t="s">
        <v>1818</v>
      </c>
      <c r="H271" s="33" t="s">
        <v>1819</v>
      </c>
    </row>
    <row r="272" spans="2:8" x14ac:dyDescent="0.35">
      <c r="B272" s="33" t="s">
        <v>2580</v>
      </c>
      <c r="C272" s="33" t="s">
        <v>411</v>
      </c>
      <c r="D272" s="35">
        <v>38239</v>
      </c>
      <c r="E272" s="35"/>
      <c r="F272" s="35"/>
      <c r="G272" s="33" t="s">
        <v>412</v>
      </c>
      <c r="H272" s="33" t="s">
        <v>413</v>
      </c>
    </row>
    <row r="273" spans="2:8" x14ac:dyDescent="0.35">
      <c r="B273" s="33" t="s">
        <v>2580</v>
      </c>
      <c r="C273" s="33" t="s">
        <v>642</v>
      </c>
      <c r="D273" s="35">
        <v>38120</v>
      </c>
      <c r="E273" s="35"/>
      <c r="F273" s="35"/>
      <c r="G273" s="33" t="s">
        <v>643</v>
      </c>
      <c r="H273" s="33" t="s">
        <v>644</v>
      </c>
    </row>
    <row r="274" spans="2:8" x14ac:dyDescent="0.35">
      <c r="B274" s="33" t="s">
        <v>2580</v>
      </c>
      <c r="C274" s="33" t="s">
        <v>2140</v>
      </c>
      <c r="D274" s="35">
        <v>37987</v>
      </c>
      <c r="E274" s="35"/>
      <c r="F274" s="35"/>
      <c r="G274" s="33" t="s">
        <v>2141</v>
      </c>
      <c r="H274" s="33" t="s">
        <v>2142</v>
      </c>
    </row>
    <row r="275" spans="2:8" x14ac:dyDescent="0.35">
      <c r="B275" s="33" t="s">
        <v>2580</v>
      </c>
      <c r="C275" s="33" t="s">
        <v>401</v>
      </c>
      <c r="D275" s="35">
        <v>37981</v>
      </c>
      <c r="E275" s="34"/>
      <c r="F275" s="34"/>
      <c r="G275" s="33" t="s">
        <v>402</v>
      </c>
      <c r="H275" s="33" t="s">
        <v>403</v>
      </c>
    </row>
    <row r="276" spans="2:8" x14ac:dyDescent="0.35">
      <c r="B276" s="33" t="s">
        <v>2580</v>
      </c>
      <c r="C276" s="33" t="s">
        <v>2407</v>
      </c>
      <c r="D276" s="35">
        <v>37500</v>
      </c>
      <c r="E276" s="35"/>
      <c r="F276" s="35"/>
      <c r="G276" s="33" t="s">
        <v>2014</v>
      </c>
      <c r="H276" s="33" t="s">
        <v>2015</v>
      </c>
    </row>
    <row r="277" spans="2:8" x14ac:dyDescent="0.35">
      <c r="B277" s="33" t="s">
        <v>2580</v>
      </c>
      <c r="C277" s="33" t="s">
        <v>395</v>
      </c>
      <c r="D277" s="35">
        <v>37500</v>
      </c>
      <c r="E277" s="35"/>
      <c r="F277" s="35"/>
      <c r="G277" s="33" t="s">
        <v>396</v>
      </c>
      <c r="H277" s="33" t="s">
        <v>397</v>
      </c>
    </row>
    <row r="278" spans="2:8" x14ac:dyDescent="0.35">
      <c r="B278" s="33" t="s">
        <v>2580</v>
      </c>
      <c r="C278" s="33" t="s">
        <v>2160</v>
      </c>
      <c r="D278" s="35">
        <v>37235</v>
      </c>
      <c r="E278" s="35"/>
      <c r="F278" s="35"/>
      <c r="G278" s="33" t="s">
        <v>2161</v>
      </c>
      <c r="H278" s="33" t="s">
        <v>2162</v>
      </c>
    </row>
    <row r="279" spans="2:8" x14ac:dyDescent="0.35">
      <c r="B279" s="33" t="s">
        <v>2580</v>
      </c>
      <c r="C279" s="33" t="s">
        <v>398</v>
      </c>
      <c r="D279" s="35">
        <v>37156</v>
      </c>
      <c r="E279" s="35"/>
      <c r="F279" s="35"/>
      <c r="G279" s="33" t="s">
        <v>399</v>
      </c>
      <c r="H279" s="33" t="s">
        <v>400</v>
      </c>
    </row>
    <row r="280" spans="2:8" x14ac:dyDescent="0.35">
      <c r="B280" s="33" t="s">
        <v>2580</v>
      </c>
      <c r="C280" s="33" t="s">
        <v>647</v>
      </c>
      <c r="D280" s="35">
        <v>36496</v>
      </c>
      <c r="E280" s="35"/>
      <c r="F280" s="35"/>
      <c r="G280" s="33" t="s">
        <v>648</v>
      </c>
      <c r="H280" s="33" t="s">
        <v>649</v>
      </c>
    </row>
    <row r="281" spans="2:8" x14ac:dyDescent="0.35">
      <c r="B281" s="33" t="s">
        <v>2580</v>
      </c>
      <c r="C281" s="33" t="s">
        <v>426</v>
      </c>
      <c r="D281" s="35">
        <v>36469</v>
      </c>
      <c r="E281" s="35"/>
      <c r="F281" s="35"/>
      <c r="G281" s="33" t="s">
        <v>427</v>
      </c>
      <c r="H281" s="33" t="s">
        <v>428</v>
      </c>
    </row>
    <row r="282" spans="2:8" x14ac:dyDescent="0.35">
      <c r="B282" s="33" t="s">
        <v>2584</v>
      </c>
      <c r="C282" s="33" t="s">
        <v>626</v>
      </c>
      <c r="D282" s="35">
        <v>36300</v>
      </c>
      <c r="E282" s="35"/>
      <c r="F282" s="35"/>
      <c r="G282" s="33" t="s">
        <v>1834</v>
      </c>
      <c r="H282" s="33" t="s">
        <v>1835</v>
      </c>
    </row>
    <row r="283" spans="2:8" x14ac:dyDescent="0.35">
      <c r="B283" s="33" t="s">
        <v>2580</v>
      </c>
      <c r="C283" s="33" t="s">
        <v>423</v>
      </c>
      <c r="D283" s="35">
        <v>35251</v>
      </c>
      <c r="E283" s="35"/>
      <c r="F283" s="35"/>
      <c r="G283" s="33" t="s">
        <v>424</v>
      </c>
      <c r="H283" s="33" t="s">
        <v>425</v>
      </c>
    </row>
    <row r="284" spans="2:8" x14ac:dyDescent="0.35">
      <c r="B284" s="33" t="s">
        <v>2580</v>
      </c>
      <c r="C284" s="33" t="s">
        <v>417</v>
      </c>
      <c r="D284" s="35">
        <v>35200</v>
      </c>
      <c r="E284" s="34"/>
      <c r="F284" s="34"/>
      <c r="G284" s="33" t="s">
        <v>418</v>
      </c>
      <c r="H284" s="33" t="s">
        <v>419</v>
      </c>
    </row>
    <row r="285" spans="2:8" x14ac:dyDescent="0.35">
      <c r="B285" s="33" t="s">
        <v>2580</v>
      </c>
      <c r="C285" s="33" t="s">
        <v>420</v>
      </c>
      <c r="D285" s="35">
        <v>35176</v>
      </c>
      <c r="E285" s="35"/>
      <c r="F285" s="35"/>
      <c r="G285" s="33" t="s">
        <v>421</v>
      </c>
      <c r="H285" s="33" t="s">
        <v>422</v>
      </c>
    </row>
    <row r="286" spans="2:8" x14ac:dyDescent="0.35">
      <c r="B286" s="33" t="s">
        <v>2580</v>
      </c>
      <c r="C286" s="33" t="s">
        <v>438</v>
      </c>
      <c r="D286" s="35">
        <v>34504</v>
      </c>
      <c r="E286" s="35"/>
      <c r="F286" s="35"/>
      <c r="G286" s="33" t="s">
        <v>439</v>
      </c>
      <c r="H286" s="33" t="s">
        <v>440</v>
      </c>
    </row>
    <row r="287" spans="2:8" x14ac:dyDescent="0.35">
      <c r="B287" s="33" t="s">
        <v>2580</v>
      </c>
      <c r="C287" s="33" t="s">
        <v>435</v>
      </c>
      <c r="D287" s="35">
        <v>34000</v>
      </c>
      <c r="E287" s="35"/>
      <c r="F287" s="35"/>
      <c r="G287" s="33" t="s">
        <v>436</v>
      </c>
      <c r="H287" s="33" t="s">
        <v>437</v>
      </c>
    </row>
    <row r="288" spans="2:8" x14ac:dyDescent="0.35">
      <c r="B288" s="33" t="s">
        <v>2580</v>
      </c>
      <c r="C288" s="33" t="s">
        <v>429</v>
      </c>
      <c r="D288" s="35">
        <v>33881</v>
      </c>
      <c r="E288" s="34"/>
      <c r="F288" s="34"/>
      <c r="G288" s="33" t="s">
        <v>430</v>
      </c>
      <c r="H288" s="33" t="s">
        <v>431</v>
      </c>
    </row>
    <row r="289" spans="2:8" x14ac:dyDescent="0.35">
      <c r="B289" s="33" t="s">
        <v>2580</v>
      </c>
      <c r="C289" s="33" t="s">
        <v>432</v>
      </c>
      <c r="D289" s="35">
        <v>33750</v>
      </c>
      <c r="E289" s="35"/>
      <c r="F289" s="35"/>
      <c r="G289" s="33" t="s">
        <v>433</v>
      </c>
      <c r="H289" s="33" t="s">
        <v>434</v>
      </c>
    </row>
    <row r="290" spans="2:8" x14ac:dyDescent="0.35">
      <c r="B290" s="33" t="s">
        <v>2584</v>
      </c>
      <c r="C290" s="33" t="s">
        <v>441</v>
      </c>
      <c r="D290" s="35">
        <v>33550</v>
      </c>
      <c r="E290" s="35"/>
      <c r="F290" s="35"/>
      <c r="G290" s="33" t="s">
        <v>442</v>
      </c>
      <c r="H290" s="33" t="s">
        <v>443</v>
      </c>
    </row>
    <row r="291" spans="2:8" x14ac:dyDescent="0.35">
      <c r="B291" s="33" t="s">
        <v>2580</v>
      </c>
      <c r="C291" s="33" t="s">
        <v>465</v>
      </c>
      <c r="D291" s="35">
        <v>32400</v>
      </c>
      <c r="E291" s="35"/>
      <c r="F291" s="35"/>
      <c r="G291" s="33" t="s">
        <v>466</v>
      </c>
      <c r="H291" s="33" t="s">
        <v>467</v>
      </c>
    </row>
    <row r="292" spans="2:8" x14ac:dyDescent="0.35">
      <c r="B292" s="33" t="s">
        <v>2580</v>
      </c>
      <c r="C292" s="33" t="s">
        <v>2588</v>
      </c>
      <c r="D292" s="35">
        <v>32300</v>
      </c>
      <c r="E292" s="35"/>
      <c r="F292" s="35"/>
      <c r="G292" s="33" t="s">
        <v>454</v>
      </c>
      <c r="H292" s="33" t="s">
        <v>455</v>
      </c>
    </row>
    <row r="293" spans="2:8" x14ac:dyDescent="0.35">
      <c r="B293" s="33" t="s">
        <v>2580</v>
      </c>
      <c r="C293" s="33" t="s">
        <v>2137</v>
      </c>
      <c r="D293" s="35">
        <v>32105</v>
      </c>
      <c r="E293" s="35"/>
      <c r="F293" s="35"/>
      <c r="G293" s="33" t="s">
        <v>2138</v>
      </c>
      <c r="H293" s="33" t="s">
        <v>2139</v>
      </c>
    </row>
    <row r="294" spans="2:8" x14ac:dyDescent="0.35">
      <c r="B294" s="33" t="s">
        <v>2580</v>
      </c>
      <c r="C294" s="33" t="s">
        <v>444</v>
      </c>
      <c r="D294" s="35">
        <v>32100</v>
      </c>
      <c r="E294" s="35"/>
      <c r="F294" s="35"/>
      <c r="G294" s="33" t="s">
        <v>445</v>
      </c>
      <c r="H294" s="33" t="s">
        <v>446</v>
      </c>
    </row>
    <row r="295" spans="2:8" x14ac:dyDescent="0.35">
      <c r="B295" s="33" t="s">
        <v>2580</v>
      </c>
      <c r="C295" s="33" t="s">
        <v>450</v>
      </c>
      <c r="D295" s="35">
        <v>31650</v>
      </c>
      <c r="E295" s="35"/>
      <c r="F295" s="35"/>
      <c r="G295" s="33" t="s">
        <v>451</v>
      </c>
      <c r="H295" s="33" t="s">
        <v>452</v>
      </c>
    </row>
    <row r="296" spans="2:8" x14ac:dyDescent="0.35">
      <c r="B296" s="33" t="s">
        <v>2580</v>
      </c>
      <c r="C296" s="33" t="s">
        <v>447</v>
      </c>
      <c r="D296" s="35">
        <v>31560</v>
      </c>
      <c r="E296" s="35"/>
      <c r="F296" s="35"/>
      <c r="G296" s="33" t="s">
        <v>448</v>
      </c>
      <c r="H296" s="33" t="s">
        <v>449</v>
      </c>
    </row>
    <row r="297" spans="2:8" x14ac:dyDescent="0.35">
      <c r="B297" s="33" t="s">
        <v>2580</v>
      </c>
      <c r="C297" s="33" t="s">
        <v>456</v>
      </c>
      <c r="D297" s="35">
        <v>31532</v>
      </c>
      <c r="E297" s="35"/>
      <c r="F297" s="35"/>
      <c r="G297" s="33" t="s">
        <v>457</v>
      </c>
      <c r="H297" s="33" t="s">
        <v>458</v>
      </c>
    </row>
    <row r="298" spans="2:8" x14ac:dyDescent="0.35">
      <c r="B298" s="33" t="s">
        <v>2584</v>
      </c>
      <c r="C298" s="33" t="s">
        <v>2263</v>
      </c>
      <c r="D298" s="35">
        <v>30717</v>
      </c>
      <c r="E298" s="35"/>
      <c r="F298" s="35"/>
      <c r="G298" s="33" t="s">
        <v>2264</v>
      </c>
      <c r="H298" s="33" t="s">
        <v>2265</v>
      </c>
    </row>
    <row r="299" spans="2:8" x14ac:dyDescent="0.35">
      <c r="B299" s="33" t="s">
        <v>2580</v>
      </c>
      <c r="C299" s="33" t="s">
        <v>468</v>
      </c>
      <c r="D299" s="35">
        <v>30700</v>
      </c>
      <c r="E299" s="35"/>
      <c r="F299" s="35"/>
      <c r="G299" s="33" t="s">
        <v>469</v>
      </c>
      <c r="H299" s="33" t="s">
        <v>470</v>
      </c>
    </row>
    <row r="300" spans="2:8" x14ac:dyDescent="0.35">
      <c r="B300" s="33" t="s">
        <v>2580</v>
      </c>
      <c r="C300" s="33" t="s">
        <v>474</v>
      </c>
      <c r="D300" s="35">
        <v>30000</v>
      </c>
      <c r="E300" s="35"/>
      <c r="F300" s="35"/>
      <c r="G300" s="33" t="s">
        <v>475</v>
      </c>
      <c r="H300" s="33" t="s">
        <v>476</v>
      </c>
    </row>
    <row r="301" spans="2:8" x14ac:dyDescent="0.35">
      <c r="B301" s="33" t="s">
        <v>2580</v>
      </c>
      <c r="C301" s="33" t="s">
        <v>459</v>
      </c>
      <c r="D301" s="35">
        <v>30000</v>
      </c>
      <c r="E301" s="35"/>
      <c r="F301" s="35"/>
      <c r="G301" s="33" t="s">
        <v>460</v>
      </c>
      <c r="H301" s="33" t="s">
        <v>461</v>
      </c>
    </row>
    <row r="302" spans="2:8" x14ac:dyDescent="0.35">
      <c r="B302" s="33" t="s">
        <v>2580</v>
      </c>
      <c r="C302" s="33" t="s">
        <v>651</v>
      </c>
      <c r="D302" s="35">
        <v>30000</v>
      </c>
      <c r="E302" s="35"/>
      <c r="F302" s="35"/>
      <c r="G302" s="33" t="s">
        <v>409</v>
      </c>
      <c r="H302" s="33" t="s">
        <v>410</v>
      </c>
    </row>
    <row r="303" spans="2:8" x14ac:dyDescent="0.35">
      <c r="B303" s="33" t="s">
        <v>2581</v>
      </c>
      <c r="C303" s="33" t="s">
        <v>462</v>
      </c>
      <c r="D303" s="35">
        <v>30000</v>
      </c>
      <c r="E303" s="35"/>
      <c r="F303" s="35"/>
      <c r="G303" s="33" t="s">
        <v>463</v>
      </c>
      <c r="H303" s="33" t="s">
        <v>464</v>
      </c>
    </row>
    <row r="304" spans="2:8" x14ac:dyDescent="0.35">
      <c r="B304" s="33" t="s">
        <v>2580</v>
      </c>
      <c r="C304" s="33" t="s">
        <v>2229</v>
      </c>
      <c r="D304" s="35">
        <v>29100</v>
      </c>
      <c r="E304" s="35"/>
      <c r="F304" s="35"/>
      <c r="G304" s="33" t="s">
        <v>2230</v>
      </c>
      <c r="H304" s="33" t="s">
        <v>2231</v>
      </c>
    </row>
    <row r="305" spans="2:8" x14ac:dyDescent="0.35">
      <c r="B305" s="33" t="s">
        <v>2580</v>
      </c>
      <c r="C305" s="33" t="s">
        <v>2248</v>
      </c>
      <c r="D305" s="35">
        <v>28500</v>
      </c>
      <c r="E305" s="35"/>
      <c r="F305" s="35"/>
      <c r="G305" s="33" t="s">
        <v>2249</v>
      </c>
      <c r="H305" s="33" t="s">
        <v>2250</v>
      </c>
    </row>
    <row r="306" spans="2:8" x14ac:dyDescent="0.35">
      <c r="B306" s="33" t="s">
        <v>2580</v>
      </c>
      <c r="C306" s="33" t="s">
        <v>666</v>
      </c>
      <c r="D306" s="35">
        <v>28325</v>
      </c>
      <c r="E306" s="35"/>
      <c r="F306" s="35"/>
      <c r="G306" s="33" t="s">
        <v>1445</v>
      </c>
      <c r="H306" s="33" t="s">
        <v>1446</v>
      </c>
    </row>
    <row r="307" spans="2:8" x14ac:dyDescent="0.35">
      <c r="B307" s="33" t="s">
        <v>2580</v>
      </c>
      <c r="C307" s="33" t="s">
        <v>453</v>
      </c>
      <c r="D307" s="35">
        <v>28000</v>
      </c>
      <c r="E307" s="35"/>
      <c r="F307" s="35"/>
      <c r="G307" s="33" t="s">
        <v>2391</v>
      </c>
      <c r="H307" s="33" t="s">
        <v>2392</v>
      </c>
    </row>
    <row r="308" spans="2:8" x14ac:dyDescent="0.35">
      <c r="B308" s="33" t="s">
        <v>2580</v>
      </c>
      <c r="C308" s="33" t="s">
        <v>618</v>
      </c>
      <c r="D308" s="35">
        <v>27900</v>
      </c>
      <c r="E308" s="35"/>
      <c r="F308" s="35"/>
      <c r="G308" s="33" t="s">
        <v>1418</v>
      </c>
      <c r="H308" s="33" t="s">
        <v>1419</v>
      </c>
    </row>
    <row r="309" spans="2:8" x14ac:dyDescent="0.35">
      <c r="B309" s="33" t="s">
        <v>2580</v>
      </c>
      <c r="C309" s="33" t="s">
        <v>478</v>
      </c>
      <c r="D309" s="35">
        <v>27500</v>
      </c>
      <c r="E309" s="35"/>
      <c r="F309" s="35"/>
      <c r="G309" s="33" t="s">
        <v>479</v>
      </c>
      <c r="H309" s="33" t="s">
        <v>480</v>
      </c>
    </row>
    <row r="310" spans="2:8" x14ac:dyDescent="0.35">
      <c r="B310" s="33" t="s">
        <v>2580</v>
      </c>
      <c r="C310" s="33" t="s">
        <v>484</v>
      </c>
      <c r="D310" s="35">
        <v>27146</v>
      </c>
      <c r="E310" s="35"/>
      <c r="F310" s="35"/>
      <c r="G310" s="33" t="s">
        <v>1564</v>
      </c>
      <c r="H310" s="33" t="s">
        <v>1565</v>
      </c>
    </row>
    <row r="311" spans="2:8" x14ac:dyDescent="0.35">
      <c r="B311" s="33" t="s">
        <v>2580</v>
      </c>
      <c r="C311" s="33" t="s">
        <v>485</v>
      </c>
      <c r="D311" s="35">
        <v>27143</v>
      </c>
      <c r="E311" s="35"/>
      <c r="F311" s="35"/>
      <c r="G311" s="33" t="s">
        <v>2266</v>
      </c>
      <c r="H311" s="33" t="s">
        <v>2267</v>
      </c>
    </row>
    <row r="312" spans="2:8" x14ac:dyDescent="0.35">
      <c r="B312" s="33" t="s">
        <v>2580</v>
      </c>
      <c r="C312" s="33" t="s">
        <v>485</v>
      </c>
      <c r="D312" s="35">
        <v>27143</v>
      </c>
      <c r="E312" s="35"/>
      <c r="F312" s="35"/>
      <c r="G312" s="33" t="s">
        <v>2246</v>
      </c>
      <c r="H312" s="33" t="s">
        <v>2247</v>
      </c>
    </row>
    <row r="313" spans="2:8" x14ac:dyDescent="0.35">
      <c r="B313" s="33" t="s">
        <v>2580</v>
      </c>
      <c r="C313" s="33" t="s">
        <v>2257</v>
      </c>
      <c r="D313" s="35">
        <v>27002</v>
      </c>
      <c r="E313" s="35"/>
      <c r="F313" s="35"/>
      <c r="G313" s="33" t="s">
        <v>2258</v>
      </c>
      <c r="H313" s="33" t="s">
        <v>2259</v>
      </c>
    </row>
    <row r="314" spans="2:8" x14ac:dyDescent="0.35">
      <c r="B314" s="33" t="s">
        <v>2580</v>
      </c>
      <c r="C314" s="33" t="s">
        <v>2277</v>
      </c>
      <c r="D314" s="35">
        <v>27000</v>
      </c>
      <c r="E314" s="35"/>
      <c r="F314" s="35"/>
      <c r="G314" s="33" t="s">
        <v>2278</v>
      </c>
      <c r="H314" s="33" t="s">
        <v>2279</v>
      </c>
    </row>
    <row r="315" spans="2:8" x14ac:dyDescent="0.35">
      <c r="B315" s="33" t="s">
        <v>2580</v>
      </c>
      <c r="C315" s="33" t="s">
        <v>477</v>
      </c>
      <c r="D315" s="35">
        <v>26942</v>
      </c>
      <c r="E315" s="35"/>
      <c r="F315" s="35"/>
      <c r="G315" s="33" t="s">
        <v>1636</v>
      </c>
      <c r="H315" s="33" t="s">
        <v>1637</v>
      </c>
    </row>
    <row r="316" spans="2:8" x14ac:dyDescent="0.35">
      <c r="B316" s="33" t="s">
        <v>2580</v>
      </c>
      <c r="C316" s="33" t="s">
        <v>2251</v>
      </c>
      <c r="D316" s="35">
        <v>26912</v>
      </c>
      <c r="E316" s="35"/>
      <c r="F316" s="35"/>
      <c r="G316" s="33" t="s">
        <v>2252</v>
      </c>
      <c r="H316" s="33" t="s">
        <v>2253</v>
      </c>
    </row>
    <row r="317" spans="2:8" x14ac:dyDescent="0.35">
      <c r="B317" s="33" t="s">
        <v>2580</v>
      </c>
      <c r="C317" s="33" t="s">
        <v>2254</v>
      </c>
      <c r="D317" s="35">
        <v>26258</v>
      </c>
      <c r="E317" s="35"/>
      <c r="F317" s="35"/>
      <c r="G317" s="33" t="s">
        <v>2255</v>
      </c>
      <c r="H317" s="33" t="s">
        <v>2256</v>
      </c>
    </row>
    <row r="318" spans="2:8" x14ac:dyDescent="0.35">
      <c r="B318" s="33" t="s">
        <v>2580</v>
      </c>
      <c r="C318" s="33" t="s">
        <v>2274</v>
      </c>
      <c r="D318" s="35">
        <v>25344</v>
      </c>
      <c r="E318" s="35"/>
      <c r="F318" s="35"/>
      <c r="G318" s="33" t="s">
        <v>2275</v>
      </c>
      <c r="H318" s="33" t="s">
        <v>2276</v>
      </c>
    </row>
    <row r="319" spans="2:8" x14ac:dyDescent="0.35">
      <c r="B319" s="33" t="s">
        <v>2580</v>
      </c>
      <c r="C319" s="33" t="s">
        <v>2226</v>
      </c>
      <c r="D319" s="35">
        <v>25220</v>
      </c>
      <c r="E319" s="35"/>
      <c r="F319" s="35"/>
      <c r="G319" s="33" t="s">
        <v>2227</v>
      </c>
      <c r="H319" s="33" t="s">
        <v>2228</v>
      </c>
    </row>
    <row r="320" spans="2:8" x14ac:dyDescent="0.35">
      <c r="B320" s="33" t="s">
        <v>2580</v>
      </c>
      <c r="C320" s="33" t="s">
        <v>2286</v>
      </c>
      <c r="D320" s="35">
        <v>25160</v>
      </c>
      <c r="E320" s="35"/>
      <c r="F320" s="35"/>
      <c r="G320" s="33" t="s">
        <v>2180</v>
      </c>
      <c r="H320" s="33" t="s">
        <v>2181</v>
      </c>
    </row>
    <row r="321" spans="2:8" x14ac:dyDescent="0.35">
      <c r="B321" s="33" t="s">
        <v>2580</v>
      </c>
      <c r="C321" s="33" t="s">
        <v>2271</v>
      </c>
      <c r="D321" s="35">
        <v>25000</v>
      </c>
      <c r="E321" s="35"/>
      <c r="F321" s="35"/>
      <c r="G321" s="33" t="s">
        <v>2272</v>
      </c>
      <c r="H321" s="33" t="s">
        <v>2273</v>
      </c>
    </row>
    <row r="322" spans="2:8" x14ac:dyDescent="0.35">
      <c r="B322" s="33" t="s">
        <v>2580</v>
      </c>
      <c r="C322" s="33" t="s">
        <v>55</v>
      </c>
      <c r="D322" s="35">
        <v>25000</v>
      </c>
      <c r="E322" s="35"/>
      <c r="F322" s="35"/>
      <c r="G322" s="33" t="s">
        <v>56</v>
      </c>
      <c r="H322" s="33" t="s">
        <v>57</v>
      </c>
    </row>
    <row r="323" spans="2:8" x14ac:dyDescent="0.35">
      <c r="B323" s="33" t="s">
        <v>2580</v>
      </c>
      <c r="C323" s="33" t="s">
        <v>2036</v>
      </c>
      <c r="D323" s="35">
        <v>25000</v>
      </c>
      <c r="E323" s="35"/>
      <c r="F323" s="35"/>
      <c r="G323" s="33" t="s">
        <v>2239</v>
      </c>
      <c r="H323" s="33" t="s">
        <v>2240</v>
      </c>
    </row>
    <row r="324" spans="2:8" x14ac:dyDescent="0.35">
      <c r="B324" s="33" t="s">
        <v>2580</v>
      </c>
      <c r="C324" s="33" t="s">
        <v>2283</v>
      </c>
      <c r="D324" s="35">
        <v>24942</v>
      </c>
      <c r="E324" s="35"/>
      <c r="F324" s="35"/>
      <c r="G324" s="33" t="s">
        <v>2284</v>
      </c>
      <c r="H324" s="33" t="s">
        <v>2285</v>
      </c>
    </row>
    <row r="325" spans="2:8" x14ac:dyDescent="0.35">
      <c r="B325" s="33" t="s">
        <v>2580</v>
      </c>
      <c r="C325" s="33" t="s">
        <v>2347</v>
      </c>
      <c r="D325" s="35">
        <v>24888</v>
      </c>
      <c r="E325" s="35"/>
      <c r="F325" s="35"/>
      <c r="G325" s="33" t="s">
        <v>2348</v>
      </c>
      <c r="H325" s="33" t="s">
        <v>2349</v>
      </c>
    </row>
    <row r="326" spans="2:8" x14ac:dyDescent="0.35">
      <c r="B326" s="33" t="s">
        <v>2580</v>
      </c>
      <c r="C326" s="33" t="s">
        <v>2190</v>
      </c>
      <c r="D326" s="35">
        <v>24806</v>
      </c>
      <c r="E326" s="34"/>
      <c r="F326" s="34"/>
      <c r="G326" s="33" t="s">
        <v>2191</v>
      </c>
      <c r="H326" s="33" t="s">
        <v>2192</v>
      </c>
    </row>
    <row r="327" spans="2:8" x14ac:dyDescent="0.35">
      <c r="B327" s="33" t="s">
        <v>2580</v>
      </c>
      <c r="C327" s="33" t="s">
        <v>2184</v>
      </c>
      <c r="D327" s="35">
        <v>24659</v>
      </c>
      <c r="E327" s="35"/>
      <c r="F327" s="35"/>
      <c r="G327" s="33" t="s">
        <v>2185</v>
      </c>
      <c r="H327" s="33" t="s">
        <v>2186</v>
      </c>
    </row>
    <row r="328" spans="2:8" x14ac:dyDescent="0.35">
      <c r="B328" s="33" t="s">
        <v>2580</v>
      </c>
      <c r="C328" s="33" t="s">
        <v>2268</v>
      </c>
      <c r="D328" s="35">
        <v>24646</v>
      </c>
      <c r="E328" s="35"/>
      <c r="F328" s="35"/>
      <c r="G328" s="33" t="s">
        <v>2182</v>
      </c>
      <c r="H328" s="33" t="s">
        <v>2183</v>
      </c>
    </row>
    <row r="329" spans="2:8" x14ac:dyDescent="0.35">
      <c r="B329" s="33" t="s">
        <v>2580</v>
      </c>
      <c r="C329" s="33" t="s">
        <v>2268</v>
      </c>
      <c r="D329" s="35">
        <v>24645</v>
      </c>
      <c r="E329" s="35"/>
      <c r="F329" s="35"/>
      <c r="G329" s="33" t="s">
        <v>2269</v>
      </c>
      <c r="H329" s="33" t="s">
        <v>2270</v>
      </c>
    </row>
    <row r="330" spans="2:8" x14ac:dyDescent="0.35">
      <c r="B330" s="33" t="s">
        <v>2580</v>
      </c>
      <c r="C330" s="33" t="s">
        <v>2193</v>
      </c>
      <c r="D330" s="35">
        <v>24299</v>
      </c>
      <c r="E330" s="35"/>
      <c r="F330" s="35"/>
      <c r="G330" s="33" t="s">
        <v>2194</v>
      </c>
      <c r="H330" s="33" t="s">
        <v>2195</v>
      </c>
    </row>
    <row r="331" spans="2:8" x14ac:dyDescent="0.35">
      <c r="B331" s="33" t="s">
        <v>2580</v>
      </c>
      <c r="C331" s="33" t="s">
        <v>2196</v>
      </c>
      <c r="D331" s="35">
        <v>24146</v>
      </c>
      <c r="E331" s="35"/>
      <c r="F331" s="35"/>
      <c r="G331" s="33" t="s">
        <v>2197</v>
      </c>
      <c r="H331" s="33" t="s">
        <v>2198</v>
      </c>
    </row>
    <row r="332" spans="2:8" x14ac:dyDescent="0.35">
      <c r="B332" s="33" t="s">
        <v>2580</v>
      </c>
      <c r="C332" s="33" t="s">
        <v>2152</v>
      </c>
      <c r="D332" s="35">
        <v>24000</v>
      </c>
      <c r="E332" s="35"/>
      <c r="F332" s="35"/>
      <c r="G332" s="33" t="s">
        <v>2188</v>
      </c>
      <c r="H332" s="33" t="s">
        <v>2189</v>
      </c>
    </row>
    <row r="333" spans="2:8" x14ac:dyDescent="0.35">
      <c r="B333" s="33" t="s">
        <v>2580</v>
      </c>
      <c r="C333" s="33" t="s">
        <v>2606</v>
      </c>
      <c r="D333" s="35">
        <v>23860</v>
      </c>
      <c r="E333" s="35"/>
      <c r="F333" s="35"/>
      <c r="G333" s="33" t="s">
        <v>2607</v>
      </c>
      <c r="H333" s="33" t="s">
        <v>599</v>
      </c>
    </row>
    <row r="334" spans="2:8" x14ac:dyDescent="0.35">
      <c r="B334" s="33" t="s">
        <v>2580</v>
      </c>
      <c r="C334" s="33" t="s">
        <v>2606</v>
      </c>
      <c r="D334" s="35">
        <v>23860</v>
      </c>
      <c r="E334" s="35"/>
      <c r="F334" s="35"/>
      <c r="G334" s="33" t="s">
        <v>600</v>
      </c>
      <c r="H334" s="33" t="s">
        <v>601</v>
      </c>
    </row>
    <row r="335" spans="2:8" x14ac:dyDescent="0.35">
      <c r="B335" s="33" t="s">
        <v>2580</v>
      </c>
      <c r="C335" s="33" t="s">
        <v>2199</v>
      </c>
      <c r="D335" s="35">
        <v>23000</v>
      </c>
      <c r="E335" s="35"/>
      <c r="F335" s="35"/>
      <c r="G335" s="33" t="s">
        <v>2200</v>
      </c>
      <c r="H335" s="33" t="s">
        <v>2201</v>
      </c>
    </row>
    <row r="336" spans="2:8" x14ac:dyDescent="0.35">
      <c r="B336" s="33" t="s">
        <v>2580</v>
      </c>
      <c r="C336" s="33" t="s">
        <v>2202</v>
      </c>
      <c r="D336" s="35">
        <v>23000</v>
      </c>
      <c r="E336" s="35"/>
      <c r="F336" s="35"/>
      <c r="G336" s="33" t="s">
        <v>2203</v>
      </c>
      <c r="H336" s="33" t="s">
        <v>2204</v>
      </c>
    </row>
    <row r="337" spans="2:8" x14ac:dyDescent="0.35">
      <c r="B337" s="33" t="s">
        <v>2580</v>
      </c>
      <c r="C337" s="33" t="s">
        <v>2208</v>
      </c>
      <c r="D337" s="35">
        <v>23000</v>
      </c>
      <c r="E337" s="35"/>
      <c r="F337" s="35"/>
      <c r="G337" s="33" t="s">
        <v>2209</v>
      </c>
      <c r="H337" s="33" t="s">
        <v>2210</v>
      </c>
    </row>
    <row r="338" spans="2:8" x14ac:dyDescent="0.35">
      <c r="B338" s="33" t="s">
        <v>2580</v>
      </c>
      <c r="C338" s="33" t="s">
        <v>650</v>
      </c>
      <c r="D338" s="35">
        <v>23000</v>
      </c>
      <c r="E338" s="35"/>
      <c r="F338" s="35"/>
      <c r="G338" s="33" t="s">
        <v>1448</v>
      </c>
      <c r="H338" s="33" t="s">
        <v>1449</v>
      </c>
    </row>
    <row r="339" spans="2:8" x14ac:dyDescent="0.35">
      <c r="B339" s="33" t="s">
        <v>2580</v>
      </c>
      <c r="C339" s="33" t="s">
        <v>28</v>
      </c>
      <c r="D339" s="35">
        <v>22600</v>
      </c>
      <c r="E339" s="35"/>
      <c r="F339" s="35"/>
      <c r="G339" s="33" t="s">
        <v>29</v>
      </c>
      <c r="H339" s="33" t="s">
        <v>30</v>
      </c>
    </row>
    <row r="340" spans="2:8" x14ac:dyDescent="0.35">
      <c r="B340" s="33" t="s">
        <v>2580</v>
      </c>
      <c r="C340" s="33" t="s">
        <v>2220</v>
      </c>
      <c r="D340" s="35">
        <v>22575</v>
      </c>
      <c r="E340" s="34"/>
      <c r="F340" s="34"/>
      <c r="G340" s="33" t="s">
        <v>2221</v>
      </c>
      <c r="H340" s="33" t="s">
        <v>2222</v>
      </c>
    </row>
    <row r="341" spans="2:8" x14ac:dyDescent="0.35">
      <c r="B341" s="33" t="s">
        <v>2580</v>
      </c>
      <c r="C341" s="33" t="s">
        <v>2217</v>
      </c>
      <c r="D341" s="35">
        <v>22300</v>
      </c>
      <c r="E341" s="35"/>
      <c r="F341" s="35"/>
      <c r="G341" s="33" t="s">
        <v>2218</v>
      </c>
      <c r="H341" s="33" t="s">
        <v>2219</v>
      </c>
    </row>
    <row r="342" spans="2:8" x14ac:dyDescent="0.35">
      <c r="B342" s="33" t="s">
        <v>2580</v>
      </c>
      <c r="C342" s="33" t="s">
        <v>66</v>
      </c>
      <c r="D342" s="35">
        <v>22000</v>
      </c>
      <c r="E342" s="34"/>
      <c r="F342" s="34"/>
      <c r="G342" s="33" t="s">
        <v>67</v>
      </c>
      <c r="H342" s="33" t="s">
        <v>68</v>
      </c>
    </row>
    <row r="343" spans="2:8" x14ac:dyDescent="0.35">
      <c r="B343" s="33" t="s">
        <v>2580</v>
      </c>
      <c r="C343" s="33" t="s">
        <v>625</v>
      </c>
      <c r="D343" s="35">
        <v>22000</v>
      </c>
      <c r="E343" s="35"/>
      <c r="F343" s="35"/>
      <c r="G343" s="33" t="s">
        <v>2006</v>
      </c>
      <c r="H343" s="33" t="s">
        <v>2007</v>
      </c>
    </row>
    <row r="344" spans="2:8" x14ac:dyDescent="0.35">
      <c r="B344" s="33" t="s">
        <v>2580</v>
      </c>
      <c r="C344" s="33" t="s">
        <v>2232</v>
      </c>
      <c r="D344" s="35">
        <v>22000</v>
      </c>
      <c r="E344" s="35"/>
      <c r="F344" s="35"/>
      <c r="G344" s="33" t="s">
        <v>2233</v>
      </c>
      <c r="H344" s="33" t="s">
        <v>2234</v>
      </c>
    </row>
    <row r="345" spans="2:8" x14ac:dyDescent="0.35">
      <c r="B345" s="33" t="s">
        <v>2580</v>
      </c>
      <c r="C345" s="33" t="s">
        <v>2223</v>
      </c>
      <c r="D345" s="35">
        <v>21711</v>
      </c>
      <c r="E345" s="35"/>
      <c r="F345" s="35"/>
      <c r="G345" s="33" t="s">
        <v>2224</v>
      </c>
      <c r="H345" s="33" t="s">
        <v>2225</v>
      </c>
    </row>
    <row r="346" spans="2:8" x14ac:dyDescent="0.35">
      <c r="B346" s="33" t="s">
        <v>2580</v>
      </c>
      <c r="C346" s="33" t="s">
        <v>2280</v>
      </c>
      <c r="D346" s="35">
        <v>21500</v>
      </c>
      <c r="E346" s="35"/>
      <c r="F346" s="35"/>
      <c r="G346" s="33" t="s">
        <v>2281</v>
      </c>
      <c r="H346" s="33" t="s">
        <v>2282</v>
      </c>
    </row>
    <row r="347" spans="2:8" x14ac:dyDescent="0.35">
      <c r="B347" s="33" t="s">
        <v>2580</v>
      </c>
      <c r="C347" s="33" t="s">
        <v>2599</v>
      </c>
      <c r="D347" s="35">
        <v>21480</v>
      </c>
      <c r="E347" s="35"/>
      <c r="F347" s="35"/>
      <c r="G347" s="33" t="s">
        <v>2600</v>
      </c>
      <c r="H347" s="33" t="s">
        <v>2601</v>
      </c>
    </row>
    <row r="348" spans="2:8" x14ac:dyDescent="0.35">
      <c r="B348" s="33" t="s">
        <v>2580</v>
      </c>
      <c r="C348" s="33" t="s">
        <v>2214</v>
      </c>
      <c r="D348" s="35">
        <v>21368</v>
      </c>
      <c r="E348" s="35"/>
      <c r="F348" s="35"/>
      <c r="G348" s="33" t="s">
        <v>2241</v>
      </c>
      <c r="H348" s="33" t="s">
        <v>2242</v>
      </c>
    </row>
    <row r="349" spans="2:8" x14ac:dyDescent="0.35">
      <c r="B349" s="33" t="s">
        <v>2580</v>
      </c>
      <c r="C349" s="33" t="s">
        <v>624</v>
      </c>
      <c r="D349" s="35">
        <v>20760</v>
      </c>
      <c r="E349" s="35"/>
      <c r="F349" s="35"/>
      <c r="G349" s="33" t="s">
        <v>2236</v>
      </c>
      <c r="H349" s="33" t="s">
        <v>2237</v>
      </c>
    </row>
    <row r="350" spans="2:8" x14ac:dyDescent="0.35">
      <c r="B350" s="33" t="s">
        <v>2580</v>
      </c>
      <c r="C350" s="33" t="s">
        <v>2205</v>
      </c>
      <c r="D350" s="35">
        <v>20460</v>
      </c>
      <c r="E350" s="35"/>
      <c r="F350" s="35"/>
      <c r="G350" s="33" t="s">
        <v>2206</v>
      </c>
      <c r="H350" s="33" t="s">
        <v>2207</v>
      </c>
    </row>
    <row r="351" spans="2:8" x14ac:dyDescent="0.35">
      <c r="B351" s="33" t="s">
        <v>2580</v>
      </c>
      <c r="C351" s="33" t="s">
        <v>2592</v>
      </c>
      <c r="D351" s="35">
        <v>20162</v>
      </c>
      <c r="E351" s="35"/>
      <c r="F351" s="35"/>
      <c r="G351" s="33" t="s">
        <v>2593</v>
      </c>
      <c r="H351" s="33" t="s">
        <v>2594</v>
      </c>
    </row>
    <row r="352" spans="2:8" x14ac:dyDescent="0.35">
      <c r="B352" s="33" t="s">
        <v>2580</v>
      </c>
      <c r="C352" s="33" t="s">
        <v>24</v>
      </c>
      <c r="D352" s="35">
        <v>20120</v>
      </c>
      <c r="E352" s="35"/>
      <c r="F352" s="35"/>
      <c r="G352" s="33" t="s">
        <v>25</v>
      </c>
      <c r="H352" s="33" t="s">
        <v>26</v>
      </c>
    </row>
    <row r="353" spans="2:8" x14ac:dyDescent="0.35">
      <c r="B353" s="33" t="s">
        <v>2580</v>
      </c>
      <c r="C353" s="33" t="s">
        <v>58</v>
      </c>
      <c r="D353" s="35">
        <v>20004</v>
      </c>
      <c r="E353" s="35"/>
      <c r="F353" s="35"/>
      <c r="G353" s="33" t="s">
        <v>61</v>
      </c>
      <c r="H353" s="33" t="s">
        <v>62</v>
      </c>
    </row>
    <row r="354" spans="2:8" x14ac:dyDescent="0.35">
      <c r="B354" s="33" t="s">
        <v>2580</v>
      </c>
      <c r="C354" s="33" t="s">
        <v>58</v>
      </c>
      <c r="D354" s="35">
        <v>20004</v>
      </c>
      <c r="E354" s="35"/>
      <c r="F354" s="35"/>
      <c r="G354" s="33" t="s">
        <v>59</v>
      </c>
      <c r="H354" s="33" t="s">
        <v>60</v>
      </c>
    </row>
    <row r="355" spans="2:8" x14ac:dyDescent="0.35">
      <c r="B355" s="33" t="s">
        <v>2580</v>
      </c>
      <c r="C355" s="33" t="s">
        <v>2211</v>
      </c>
      <c r="D355" s="35">
        <v>20000</v>
      </c>
      <c r="E355" s="34"/>
      <c r="F355" s="34"/>
      <c r="G355" s="33" t="s">
        <v>2432</v>
      </c>
      <c r="H355" s="33" t="s">
        <v>2433</v>
      </c>
    </row>
    <row r="356" spans="2:8" x14ac:dyDescent="0.35">
      <c r="B356" s="33" t="s">
        <v>2580</v>
      </c>
      <c r="C356" s="33" t="s">
        <v>27</v>
      </c>
      <c r="D356" s="35">
        <v>20000</v>
      </c>
      <c r="E356" s="35"/>
      <c r="F356" s="35"/>
      <c r="G356" s="33" t="s">
        <v>1618</v>
      </c>
      <c r="H356" s="33" t="s">
        <v>1619</v>
      </c>
    </row>
    <row r="357" spans="2:8" x14ac:dyDescent="0.35">
      <c r="B357" s="33" t="s">
        <v>2580</v>
      </c>
      <c r="C357" s="33" t="s">
        <v>2187</v>
      </c>
      <c r="D357" s="35">
        <v>19883</v>
      </c>
      <c r="E357" s="35"/>
      <c r="F357" s="35"/>
      <c r="G357" s="33" t="s">
        <v>1642</v>
      </c>
      <c r="H357" s="33" t="s">
        <v>1643</v>
      </c>
    </row>
    <row r="358" spans="2:8" x14ac:dyDescent="0.35">
      <c r="B358" s="33" t="s">
        <v>2580</v>
      </c>
      <c r="C358" s="33" t="s">
        <v>34</v>
      </c>
      <c r="D358" s="35">
        <v>19800</v>
      </c>
      <c r="E358" s="35"/>
      <c r="F358" s="35"/>
      <c r="G358" s="33" t="s">
        <v>35</v>
      </c>
      <c r="H358" s="33" t="s">
        <v>36</v>
      </c>
    </row>
    <row r="359" spans="2:8" x14ac:dyDescent="0.35">
      <c r="B359" s="33" t="s">
        <v>2580</v>
      </c>
      <c r="C359" s="33" t="s">
        <v>481</v>
      </c>
      <c r="D359" s="35">
        <v>19654</v>
      </c>
      <c r="E359" s="35"/>
      <c r="F359" s="35"/>
      <c r="G359" s="33" t="s">
        <v>482</v>
      </c>
      <c r="H359" s="33" t="s">
        <v>483</v>
      </c>
    </row>
    <row r="360" spans="2:8" x14ac:dyDescent="0.35">
      <c r="B360" s="33" t="s">
        <v>2580</v>
      </c>
      <c r="C360" s="33" t="s">
        <v>63</v>
      </c>
      <c r="D360" s="35">
        <v>19418</v>
      </c>
      <c r="E360" s="35"/>
      <c r="F360" s="35"/>
      <c r="G360" s="33" t="s">
        <v>64</v>
      </c>
      <c r="H360" s="33" t="s">
        <v>65</v>
      </c>
    </row>
    <row r="361" spans="2:8" x14ac:dyDescent="0.35">
      <c r="B361" s="33" t="s">
        <v>2581</v>
      </c>
      <c r="C361" s="33" t="s">
        <v>37</v>
      </c>
      <c r="D361" s="35">
        <v>19315</v>
      </c>
      <c r="E361" s="35"/>
      <c r="F361" s="35"/>
      <c r="G361" s="33" t="s">
        <v>38</v>
      </c>
      <c r="H361" s="33" t="s">
        <v>39</v>
      </c>
    </row>
    <row r="362" spans="2:8" x14ac:dyDescent="0.35">
      <c r="B362" s="33" t="s">
        <v>2580</v>
      </c>
      <c r="C362" s="33" t="s">
        <v>52</v>
      </c>
      <c r="D362" s="35">
        <v>19158</v>
      </c>
      <c r="E362" s="35"/>
      <c r="F362" s="35"/>
      <c r="G362" s="33" t="s">
        <v>53</v>
      </c>
      <c r="H362" s="33" t="s">
        <v>54</v>
      </c>
    </row>
    <row r="363" spans="2:8" x14ac:dyDescent="0.35">
      <c r="B363" s="33" t="s">
        <v>2580</v>
      </c>
      <c r="C363" s="33" t="s">
        <v>49</v>
      </c>
      <c r="D363" s="35">
        <v>19116</v>
      </c>
      <c r="E363" s="35"/>
      <c r="F363" s="35"/>
      <c r="G363" s="33" t="s">
        <v>50</v>
      </c>
      <c r="H363" s="33" t="s">
        <v>51</v>
      </c>
    </row>
    <row r="364" spans="2:8" x14ac:dyDescent="0.35">
      <c r="B364" s="33" t="s">
        <v>2581</v>
      </c>
      <c r="C364" s="33" t="s">
        <v>41</v>
      </c>
      <c r="D364" s="35">
        <v>19000</v>
      </c>
      <c r="E364" s="35"/>
      <c r="F364" s="35"/>
      <c r="G364" s="33" t="s">
        <v>42</v>
      </c>
      <c r="H364" s="33" t="s">
        <v>43</v>
      </c>
    </row>
    <row r="365" spans="2:8" x14ac:dyDescent="0.35">
      <c r="B365" s="33" t="s">
        <v>2580</v>
      </c>
      <c r="C365" s="33" t="s">
        <v>40</v>
      </c>
      <c r="D365" s="35">
        <v>18750</v>
      </c>
      <c r="E365" s="35"/>
      <c r="F365" s="35"/>
      <c r="G365" s="33" t="s">
        <v>1627</v>
      </c>
      <c r="H365" s="33" t="s">
        <v>1628</v>
      </c>
    </row>
    <row r="366" spans="2:8" x14ac:dyDescent="0.35">
      <c r="B366" s="33" t="s">
        <v>2580</v>
      </c>
      <c r="C366" s="33" t="s">
        <v>627</v>
      </c>
      <c r="D366" s="35">
        <v>18750</v>
      </c>
      <c r="E366" s="35"/>
      <c r="F366" s="35"/>
      <c r="G366" s="33" t="s">
        <v>32</v>
      </c>
      <c r="H366" s="33" t="s">
        <v>33</v>
      </c>
    </row>
    <row r="367" spans="2:8" x14ac:dyDescent="0.35">
      <c r="B367" s="33" t="s">
        <v>2580</v>
      </c>
      <c r="C367" s="33" t="s">
        <v>2235</v>
      </c>
      <c r="D367" s="35">
        <v>18621</v>
      </c>
      <c r="E367" s="35"/>
      <c r="F367" s="35"/>
      <c r="G367" s="33" t="s">
        <v>2215</v>
      </c>
      <c r="H367" s="33" t="s">
        <v>2216</v>
      </c>
    </row>
    <row r="368" spans="2:8" x14ac:dyDescent="0.35">
      <c r="B368" s="33" t="s">
        <v>2581</v>
      </c>
      <c r="C368" s="33" t="s">
        <v>620</v>
      </c>
      <c r="D368" s="35">
        <v>18400</v>
      </c>
      <c r="E368" s="35"/>
      <c r="F368" s="35"/>
      <c r="G368" s="33" t="s">
        <v>2037</v>
      </c>
      <c r="H368" s="33" t="s">
        <v>2038</v>
      </c>
    </row>
    <row r="369" spans="2:8" x14ac:dyDescent="0.35">
      <c r="B369" s="33" t="s">
        <v>2580</v>
      </c>
      <c r="C369" s="33" t="s">
        <v>2589</v>
      </c>
      <c r="D369" s="35">
        <v>18005</v>
      </c>
      <c r="E369" s="35"/>
      <c r="F369" s="35"/>
      <c r="G369" s="33" t="s">
        <v>2393</v>
      </c>
      <c r="H369" s="33" t="s">
        <v>2394</v>
      </c>
    </row>
    <row r="370" spans="2:8" x14ac:dyDescent="0.35">
      <c r="B370" s="33" t="s">
        <v>2580</v>
      </c>
      <c r="C370" s="33" t="s">
        <v>605</v>
      </c>
      <c r="D370" s="35">
        <v>18000</v>
      </c>
      <c r="E370" s="35"/>
      <c r="F370" s="35"/>
      <c r="G370" s="33" t="s">
        <v>1463</v>
      </c>
      <c r="H370" s="33" t="s">
        <v>1464</v>
      </c>
    </row>
    <row r="371" spans="2:8" x14ac:dyDescent="0.35">
      <c r="B371" s="33" t="s">
        <v>2580</v>
      </c>
      <c r="C371" s="33" t="s">
        <v>2300</v>
      </c>
      <c r="D371" s="35">
        <v>18000</v>
      </c>
      <c r="E371" s="35"/>
      <c r="F371" s="35"/>
      <c r="G371" s="33" t="s">
        <v>2301</v>
      </c>
      <c r="H371" s="33" t="s">
        <v>2302</v>
      </c>
    </row>
    <row r="372" spans="2:8" x14ac:dyDescent="0.35">
      <c r="B372" s="33" t="s">
        <v>2580</v>
      </c>
      <c r="C372" s="33" t="s">
        <v>2297</v>
      </c>
      <c r="D372" s="35">
        <v>17970</v>
      </c>
      <c r="E372" s="35"/>
      <c r="F372" s="35"/>
      <c r="G372" s="33" t="s">
        <v>2298</v>
      </c>
      <c r="H372" s="33" t="s">
        <v>2299</v>
      </c>
    </row>
    <row r="373" spans="2:8" x14ac:dyDescent="0.35">
      <c r="B373" s="33" t="s">
        <v>2580</v>
      </c>
      <c r="C373" s="33" t="s">
        <v>71</v>
      </c>
      <c r="D373" s="35">
        <v>17901</v>
      </c>
      <c r="E373" s="35"/>
      <c r="F373" s="35"/>
      <c r="G373" s="33" t="s">
        <v>72</v>
      </c>
      <c r="H373" s="33" t="s">
        <v>73</v>
      </c>
    </row>
    <row r="374" spans="2:8" x14ac:dyDescent="0.35">
      <c r="B374" s="33" t="s">
        <v>2580</v>
      </c>
      <c r="C374" s="33" t="s">
        <v>2365</v>
      </c>
      <c r="D374" s="35">
        <v>17523</v>
      </c>
      <c r="E374" s="35"/>
      <c r="F374" s="35"/>
      <c r="G374" s="33" t="s">
        <v>69</v>
      </c>
      <c r="H374" s="33" t="s">
        <v>70</v>
      </c>
    </row>
    <row r="375" spans="2:8" x14ac:dyDescent="0.35">
      <c r="B375" s="33" t="s">
        <v>2580</v>
      </c>
      <c r="C375" s="33" t="s">
        <v>74</v>
      </c>
      <c r="D375" s="35">
        <v>17293</v>
      </c>
      <c r="E375" s="35"/>
      <c r="F375" s="35"/>
      <c r="G375" s="33" t="s">
        <v>2295</v>
      </c>
      <c r="H375" s="33" t="s">
        <v>2296</v>
      </c>
    </row>
    <row r="376" spans="2:8" x14ac:dyDescent="0.35">
      <c r="B376" s="33" t="s">
        <v>2580</v>
      </c>
      <c r="C376" s="33" t="s">
        <v>2306</v>
      </c>
      <c r="D376" s="35">
        <v>17270</v>
      </c>
      <c r="E376" s="35"/>
      <c r="F376" s="35"/>
      <c r="G376" s="33" t="s">
        <v>2307</v>
      </c>
      <c r="H376" s="33" t="s">
        <v>2308</v>
      </c>
    </row>
    <row r="377" spans="2:8" x14ac:dyDescent="0.35">
      <c r="B377" s="33" t="s">
        <v>2580</v>
      </c>
      <c r="C377" s="33" t="s">
        <v>2309</v>
      </c>
      <c r="D377" s="35">
        <v>16952</v>
      </c>
      <c r="E377" s="35"/>
      <c r="F377" s="35"/>
      <c r="G377" s="33" t="s">
        <v>2310</v>
      </c>
      <c r="H377" s="33" t="s">
        <v>2311</v>
      </c>
    </row>
    <row r="378" spans="2:8" x14ac:dyDescent="0.35">
      <c r="B378" s="33" t="s">
        <v>2580</v>
      </c>
      <c r="C378" s="33" t="s">
        <v>2353</v>
      </c>
      <c r="D378" s="35">
        <v>16088</v>
      </c>
      <c r="E378" s="34"/>
      <c r="F378" s="34"/>
      <c r="G378" s="33" t="s">
        <v>1558</v>
      </c>
      <c r="H378" s="33" t="s">
        <v>2354</v>
      </c>
    </row>
    <row r="379" spans="2:8" x14ac:dyDescent="0.35">
      <c r="B379" s="33" t="s">
        <v>2580</v>
      </c>
      <c r="C379" s="33" t="s">
        <v>2318</v>
      </c>
      <c r="D379" s="35">
        <v>16080</v>
      </c>
      <c r="E379" s="35"/>
      <c r="F379" s="35"/>
      <c r="G379" s="33" t="s">
        <v>2319</v>
      </c>
      <c r="H379" s="33" t="s">
        <v>2320</v>
      </c>
    </row>
    <row r="380" spans="2:8" x14ac:dyDescent="0.35">
      <c r="B380" s="33" t="s">
        <v>2580</v>
      </c>
      <c r="C380" s="33" t="s">
        <v>635</v>
      </c>
      <c r="D380" s="35">
        <v>16000</v>
      </c>
      <c r="E380" s="35"/>
      <c r="F380" s="35"/>
      <c r="G380" s="33" t="s">
        <v>47</v>
      </c>
      <c r="H380" s="33" t="s">
        <v>48</v>
      </c>
    </row>
    <row r="381" spans="2:8" x14ac:dyDescent="0.35">
      <c r="B381" s="33" t="s">
        <v>2580</v>
      </c>
      <c r="C381" s="33" t="s">
        <v>2315</v>
      </c>
      <c r="D381" s="35">
        <v>15900</v>
      </c>
      <c r="E381" s="34"/>
      <c r="F381" s="34"/>
      <c r="G381" s="33" t="s">
        <v>2316</v>
      </c>
      <c r="H381" s="33" t="s">
        <v>2317</v>
      </c>
    </row>
    <row r="382" spans="2:8" x14ac:dyDescent="0.35">
      <c r="B382" s="33" t="s">
        <v>617</v>
      </c>
      <c r="C382" s="33" t="s">
        <v>2312</v>
      </c>
      <c r="D382" s="35">
        <v>15750</v>
      </c>
      <c r="E382" s="35"/>
      <c r="F382" s="35"/>
      <c r="G382" s="33" t="s">
        <v>2313</v>
      </c>
      <c r="H382" s="33" t="s">
        <v>2314</v>
      </c>
    </row>
    <row r="383" spans="2:8" x14ac:dyDescent="0.35">
      <c r="B383" s="33" t="s">
        <v>2580</v>
      </c>
      <c r="C383" s="33" t="s">
        <v>2303</v>
      </c>
      <c r="D383" s="35">
        <v>15606</v>
      </c>
      <c r="E383" s="35"/>
      <c r="F383" s="35"/>
      <c r="G383" s="33" t="s">
        <v>2304</v>
      </c>
      <c r="H383" s="33" t="s">
        <v>2305</v>
      </c>
    </row>
    <row r="384" spans="2:8" x14ac:dyDescent="0.35">
      <c r="B384" s="33" t="s">
        <v>2580</v>
      </c>
      <c r="C384" s="33" t="s">
        <v>2362</v>
      </c>
      <c r="D384" s="35">
        <v>15340</v>
      </c>
      <c r="E384" s="35"/>
      <c r="F384" s="35"/>
      <c r="G384" s="33" t="s">
        <v>2363</v>
      </c>
      <c r="H384" s="33" t="s">
        <v>2364</v>
      </c>
    </row>
    <row r="385" spans="2:8" x14ac:dyDescent="0.35">
      <c r="B385" s="33" t="s">
        <v>2580</v>
      </c>
      <c r="C385" s="33" t="s">
        <v>2321</v>
      </c>
      <c r="D385" s="35">
        <v>15080</v>
      </c>
      <c r="E385" s="35"/>
      <c r="F385" s="35"/>
      <c r="G385" s="33" t="s">
        <v>2322</v>
      </c>
      <c r="H385" s="33" t="s">
        <v>2323</v>
      </c>
    </row>
    <row r="386" spans="2:8" x14ac:dyDescent="0.35">
      <c r="B386" s="33" t="s">
        <v>2580</v>
      </c>
      <c r="C386" s="33" t="s">
        <v>2605</v>
      </c>
      <c r="D386" s="35">
        <v>15000</v>
      </c>
      <c r="E386" s="35"/>
      <c r="F386" s="35"/>
      <c r="G386" s="33" t="s">
        <v>2324</v>
      </c>
      <c r="H386" s="33" t="s">
        <v>2325</v>
      </c>
    </row>
    <row r="387" spans="2:8" x14ac:dyDescent="0.35">
      <c r="B387" s="33" t="s">
        <v>2580</v>
      </c>
      <c r="C387" s="33" t="s">
        <v>606</v>
      </c>
      <c r="D387" s="35">
        <v>15000</v>
      </c>
      <c r="E387" s="35"/>
      <c r="F387" s="35"/>
      <c r="G387" s="33" t="s">
        <v>2212</v>
      </c>
      <c r="H387" s="33" t="s">
        <v>2213</v>
      </c>
    </row>
    <row r="388" spans="2:8" x14ac:dyDescent="0.35">
      <c r="B388" s="33" t="s">
        <v>2580</v>
      </c>
      <c r="C388" s="33" t="s">
        <v>2326</v>
      </c>
      <c r="D388" s="35">
        <v>15000</v>
      </c>
      <c r="E388" s="35"/>
      <c r="F388" s="35"/>
      <c r="G388" s="33" t="s">
        <v>2327</v>
      </c>
      <c r="H388" s="33" t="s">
        <v>2328</v>
      </c>
    </row>
    <row r="389" spans="2:8" x14ac:dyDescent="0.35">
      <c r="B389" s="33" t="s">
        <v>2580</v>
      </c>
      <c r="C389" s="33" t="s">
        <v>2331</v>
      </c>
      <c r="D389" s="35">
        <v>15000</v>
      </c>
      <c r="E389" s="35"/>
      <c r="F389" s="35"/>
      <c r="G389" s="33" t="s">
        <v>2332</v>
      </c>
      <c r="H389" s="33" t="s">
        <v>2333</v>
      </c>
    </row>
    <row r="390" spans="2:8" x14ac:dyDescent="0.35">
      <c r="B390" s="33" t="s">
        <v>2581</v>
      </c>
      <c r="C390" s="33" t="s">
        <v>2334</v>
      </c>
      <c r="D390" s="35">
        <v>15000</v>
      </c>
      <c r="E390" s="35"/>
      <c r="F390" s="35"/>
      <c r="G390" s="33" t="s">
        <v>2335</v>
      </c>
      <c r="H390" s="33" t="s">
        <v>2336</v>
      </c>
    </row>
    <row r="391" spans="2:8" x14ac:dyDescent="0.35">
      <c r="B391" s="33" t="s">
        <v>2580</v>
      </c>
      <c r="C391" s="33" t="s">
        <v>2371</v>
      </c>
      <c r="D391" s="35">
        <v>15000</v>
      </c>
      <c r="E391" s="35"/>
      <c r="F391" s="35"/>
      <c r="G391" s="33" t="s">
        <v>2340</v>
      </c>
      <c r="H391" s="33" t="s">
        <v>2341</v>
      </c>
    </row>
    <row r="392" spans="2:8" x14ac:dyDescent="0.35">
      <c r="B392" s="33" t="s">
        <v>2580</v>
      </c>
      <c r="C392" s="33" t="s">
        <v>2384</v>
      </c>
      <c r="D392" s="35">
        <v>14800</v>
      </c>
      <c r="E392" s="35"/>
      <c r="F392" s="35"/>
      <c r="G392" s="33" t="s">
        <v>2385</v>
      </c>
      <c r="H392" s="33" t="s">
        <v>2386</v>
      </c>
    </row>
    <row r="393" spans="2:8" x14ac:dyDescent="0.35">
      <c r="B393" s="33" t="s">
        <v>2580</v>
      </c>
      <c r="C393" s="33" t="s">
        <v>2359</v>
      </c>
      <c r="D393" s="35">
        <v>14446</v>
      </c>
      <c r="E393" s="35"/>
      <c r="F393" s="35"/>
      <c r="G393" s="33" t="s">
        <v>2360</v>
      </c>
      <c r="H393" s="33" t="s">
        <v>2361</v>
      </c>
    </row>
    <row r="394" spans="2:8" x14ac:dyDescent="0.35">
      <c r="B394" s="33" t="s">
        <v>2580</v>
      </c>
      <c r="C394" s="33" t="s">
        <v>2342</v>
      </c>
      <c r="D394" s="35">
        <v>14420</v>
      </c>
      <c r="E394" s="35"/>
      <c r="F394" s="35"/>
      <c r="G394" s="33" t="s">
        <v>2343</v>
      </c>
      <c r="H394" s="33" t="s">
        <v>2344</v>
      </c>
    </row>
    <row r="395" spans="2:8" x14ac:dyDescent="0.35">
      <c r="B395" s="33" t="s">
        <v>2580</v>
      </c>
      <c r="C395" s="33" t="s">
        <v>2342</v>
      </c>
      <c r="D395" s="35">
        <v>14420</v>
      </c>
      <c r="E395" s="35"/>
      <c r="F395" s="35"/>
      <c r="G395" s="33" t="s">
        <v>2345</v>
      </c>
      <c r="H395" s="33" t="s">
        <v>2346</v>
      </c>
    </row>
    <row r="396" spans="2:8" x14ac:dyDescent="0.35">
      <c r="B396" s="33" t="s">
        <v>2580</v>
      </c>
      <c r="C396" s="33" t="s">
        <v>2358</v>
      </c>
      <c r="D396" s="35">
        <v>14377</v>
      </c>
      <c r="E396" s="35"/>
      <c r="F396" s="35"/>
      <c r="G396" s="33" t="s">
        <v>1508</v>
      </c>
      <c r="H396" s="33" t="s">
        <v>1509</v>
      </c>
    </row>
    <row r="397" spans="2:8" x14ac:dyDescent="0.35">
      <c r="B397" s="33" t="s">
        <v>2580</v>
      </c>
      <c r="C397" s="33" t="s">
        <v>2401</v>
      </c>
      <c r="D397" s="35">
        <v>14250</v>
      </c>
      <c r="E397" s="35"/>
      <c r="F397" s="35"/>
      <c r="G397" s="33" t="s">
        <v>2402</v>
      </c>
      <c r="H397" s="33" t="s">
        <v>2403</v>
      </c>
    </row>
    <row r="398" spans="2:8" x14ac:dyDescent="0.35">
      <c r="B398" s="33" t="s">
        <v>2603</v>
      </c>
      <c r="C398" s="33" t="s">
        <v>2350</v>
      </c>
      <c r="D398" s="35">
        <v>14229</v>
      </c>
      <c r="E398" s="35"/>
      <c r="F398" s="35"/>
      <c r="G398" s="33" t="s">
        <v>2351</v>
      </c>
      <c r="H398" s="33" t="s">
        <v>2352</v>
      </c>
    </row>
    <row r="399" spans="2:8" x14ac:dyDescent="0.35">
      <c r="B399" s="33" t="s">
        <v>2581</v>
      </c>
      <c r="C399" s="33" t="s">
        <v>2398</v>
      </c>
      <c r="D399" s="35">
        <v>14163</v>
      </c>
      <c r="E399" s="35"/>
      <c r="F399" s="35"/>
      <c r="G399" s="33" t="s">
        <v>2399</v>
      </c>
      <c r="H399" s="33" t="s">
        <v>2400</v>
      </c>
    </row>
    <row r="400" spans="2:8" x14ac:dyDescent="0.35">
      <c r="B400" s="33" t="s">
        <v>2580</v>
      </c>
      <c r="C400" s="33" t="s">
        <v>2355</v>
      </c>
      <c r="D400" s="35">
        <v>14000</v>
      </c>
      <c r="E400" s="35"/>
      <c r="F400" s="35"/>
      <c r="G400" s="33" t="s">
        <v>2356</v>
      </c>
      <c r="H400" s="33" t="s">
        <v>2357</v>
      </c>
    </row>
    <row r="401" spans="2:8" x14ac:dyDescent="0.35">
      <c r="B401" s="33" t="s">
        <v>2580</v>
      </c>
      <c r="C401" s="33" t="s">
        <v>667</v>
      </c>
      <c r="D401" s="35">
        <v>14000</v>
      </c>
      <c r="E401" s="35"/>
      <c r="F401" s="35"/>
      <c r="G401" s="33" t="s">
        <v>668</v>
      </c>
      <c r="H401" s="33" t="s">
        <v>669</v>
      </c>
    </row>
    <row r="402" spans="2:8" x14ac:dyDescent="0.35">
      <c r="B402" s="33" t="s">
        <v>2580</v>
      </c>
      <c r="C402" s="33" t="s">
        <v>2426</v>
      </c>
      <c r="D402" s="35">
        <v>13870</v>
      </c>
      <c r="E402" s="35"/>
      <c r="F402" s="35"/>
      <c r="G402" s="33" t="s">
        <v>2427</v>
      </c>
      <c r="H402" s="33" t="s">
        <v>2428</v>
      </c>
    </row>
    <row r="403" spans="2:8" x14ac:dyDescent="0.35">
      <c r="B403" s="33" t="s">
        <v>2580</v>
      </c>
      <c r="C403" s="33" t="s">
        <v>2372</v>
      </c>
      <c r="D403" s="35">
        <v>13778</v>
      </c>
      <c r="E403" s="35"/>
      <c r="F403" s="35"/>
      <c r="G403" s="33" t="s">
        <v>2373</v>
      </c>
      <c r="H403" s="33" t="s">
        <v>2374</v>
      </c>
    </row>
    <row r="404" spans="2:8" x14ac:dyDescent="0.35">
      <c r="B404" s="33" t="s">
        <v>2580</v>
      </c>
      <c r="C404" s="33" t="s">
        <v>2381</v>
      </c>
      <c r="D404" s="35">
        <v>13750</v>
      </c>
      <c r="E404" s="35"/>
      <c r="F404" s="35"/>
      <c r="G404" s="33" t="s">
        <v>2382</v>
      </c>
      <c r="H404" s="33" t="s">
        <v>2383</v>
      </c>
    </row>
    <row r="405" spans="2:8" x14ac:dyDescent="0.35">
      <c r="B405" s="33" t="s">
        <v>2580</v>
      </c>
      <c r="C405" s="33" t="s">
        <v>2378</v>
      </c>
      <c r="D405" s="35">
        <v>13636</v>
      </c>
      <c r="E405" s="35"/>
      <c r="F405" s="35"/>
      <c r="G405" s="33" t="s">
        <v>2379</v>
      </c>
      <c r="H405" s="33" t="s">
        <v>2380</v>
      </c>
    </row>
    <row r="406" spans="2:8" x14ac:dyDescent="0.35">
      <c r="B406" s="33" t="s">
        <v>2580</v>
      </c>
      <c r="C406" s="33" t="s">
        <v>2375</v>
      </c>
      <c r="D406" s="35">
        <v>13400</v>
      </c>
      <c r="E406" s="35"/>
      <c r="F406" s="35"/>
      <c r="G406" s="33" t="s">
        <v>2376</v>
      </c>
      <c r="H406" s="33" t="s">
        <v>2377</v>
      </c>
    </row>
    <row r="407" spans="2:8" x14ac:dyDescent="0.35">
      <c r="B407" s="33" t="s">
        <v>2580</v>
      </c>
      <c r="C407" s="33" t="s">
        <v>663</v>
      </c>
      <c r="D407" s="35">
        <v>13400</v>
      </c>
      <c r="E407" s="35"/>
      <c r="F407" s="35"/>
      <c r="G407" s="33" t="s">
        <v>2366</v>
      </c>
      <c r="H407" s="33" t="s">
        <v>2367</v>
      </c>
    </row>
    <row r="408" spans="2:8" x14ac:dyDescent="0.35">
      <c r="B408" s="33" t="s">
        <v>2584</v>
      </c>
      <c r="C408" s="33" t="s">
        <v>2337</v>
      </c>
      <c r="D408" s="35">
        <v>13300</v>
      </c>
      <c r="E408" s="35"/>
      <c r="F408" s="35"/>
      <c r="G408" s="33" t="s">
        <v>2338</v>
      </c>
      <c r="H408" s="33" t="s">
        <v>2339</v>
      </c>
    </row>
    <row r="409" spans="2:8" x14ac:dyDescent="0.35">
      <c r="B409" s="33" t="s">
        <v>2580</v>
      </c>
      <c r="C409" s="33" t="s">
        <v>2368</v>
      </c>
      <c r="D409" s="35">
        <v>13200</v>
      </c>
      <c r="E409" s="35"/>
      <c r="F409" s="35"/>
      <c r="G409" s="33" t="s">
        <v>2369</v>
      </c>
      <c r="H409" s="33" t="s">
        <v>2370</v>
      </c>
    </row>
    <row r="410" spans="2:8" x14ac:dyDescent="0.35">
      <c r="B410" s="33" t="s">
        <v>2580</v>
      </c>
      <c r="C410" s="33" t="s">
        <v>2420</v>
      </c>
      <c r="D410" s="35">
        <v>12838</v>
      </c>
      <c r="E410" s="35"/>
      <c r="F410" s="35"/>
      <c r="G410" s="33" t="s">
        <v>2421</v>
      </c>
      <c r="H410" s="33" t="s">
        <v>2422</v>
      </c>
    </row>
    <row r="411" spans="2:8" x14ac:dyDescent="0.35">
      <c r="B411" s="33" t="s">
        <v>2580</v>
      </c>
      <c r="C411" s="33" t="s">
        <v>662</v>
      </c>
      <c r="D411" s="35">
        <v>12783</v>
      </c>
      <c r="E411" s="35"/>
      <c r="F411" s="35"/>
      <c r="G411" s="33" t="s">
        <v>2095</v>
      </c>
      <c r="H411" s="33" t="s">
        <v>2096</v>
      </c>
    </row>
    <row r="412" spans="2:8" x14ac:dyDescent="0.35">
      <c r="B412" s="33" t="s">
        <v>2580</v>
      </c>
      <c r="C412" s="33" t="s">
        <v>632</v>
      </c>
      <c r="D412" s="35">
        <v>12523</v>
      </c>
      <c r="E412" s="35"/>
      <c r="F412" s="35"/>
      <c r="G412" s="33" t="s">
        <v>2410</v>
      </c>
      <c r="H412" s="33" t="s">
        <v>2411</v>
      </c>
    </row>
    <row r="413" spans="2:8" x14ac:dyDescent="0.35">
      <c r="B413" s="33" t="s">
        <v>617</v>
      </c>
      <c r="C413" s="33" t="s">
        <v>2387</v>
      </c>
      <c r="D413" s="35">
        <v>12360</v>
      </c>
      <c r="E413" s="35"/>
      <c r="F413" s="35"/>
      <c r="G413" s="33" t="s">
        <v>2388</v>
      </c>
      <c r="H413" s="33" t="s">
        <v>2389</v>
      </c>
    </row>
    <row r="414" spans="2:8" x14ac:dyDescent="0.35">
      <c r="B414" s="33" t="s">
        <v>2580</v>
      </c>
      <c r="C414" s="33" t="s">
        <v>2404</v>
      </c>
      <c r="D414" s="35">
        <v>12250</v>
      </c>
      <c r="E414" s="35"/>
      <c r="F414" s="35"/>
      <c r="G414" s="33" t="s">
        <v>2405</v>
      </c>
      <c r="H414" s="33" t="s">
        <v>2406</v>
      </c>
    </row>
    <row r="415" spans="2:8" x14ac:dyDescent="0.35">
      <c r="B415" s="33" t="s">
        <v>617</v>
      </c>
      <c r="C415" s="33" t="s">
        <v>2312</v>
      </c>
      <c r="D415" s="35">
        <v>12000</v>
      </c>
      <c r="E415" s="35"/>
      <c r="F415" s="35"/>
      <c r="G415" s="33" t="s">
        <v>1543</v>
      </c>
      <c r="H415" s="33" t="s">
        <v>1544</v>
      </c>
    </row>
    <row r="416" spans="2:8" x14ac:dyDescent="0.35">
      <c r="B416" s="33" t="s">
        <v>2580</v>
      </c>
      <c r="C416" s="33" t="s">
        <v>633</v>
      </c>
      <c r="D416" s="35">
        <v>12000</v>
      </c>
      <c r="E416" s="35"/>
      <c r="F416" s="35"/>
      <c r="G416" s="33" t="s">
        <v>1531</v>
      </c>
      <c r="H416" s="33" t="s">
        <v>1532</v>
      </c>
    </row>
    <row r="417" spans="2:8" x14ac:dyDescent="0.35">
      <c r="B417" s="33" t="s">
        <v>2581</v>
      </c>
      <c r="C417" s="33" t="s">
        <v>2395</v>
      </c>
      <c r="D417" s="35">
        <v>12000</v>
      </c>
      <c r="E417" s="35"/>
      <c r="F417" s="35"/>
      <c r="G417" s="33" t="s">
        <v>2396</v>
      </c>
      <c r="H417" s="33" t="s">
        <v>2397</v>
      </c>
    </row>
    <row r="418" spans="2:8" x14ac:dyDescent="0.35">
      <c r="B418" s="33" t="s">
        <v>2580</v>
      </c>
      <c r="C418" s="33" t="s">
        <v>2583</v>
      </c>
      <c r="D418" s="35">
        <v>11963</v>
      </c>
      <c r="E418" s="34"/>
      <c r="F418" s="34"/>
      <c r="G418" s="33" t="s">
        <v>1616</v>
      </c>
      <c r="H418" s="33" t="s">
        <v>1617</v>
      </c>
    </row>
    <row r="419" spans="2:8" x14ac:dyDescent="0.35">
      <c r="B419" s="33" t="s">
        <v>2580</v>
      </c>
      <c r="C419" s="33" t="s">
        <v>2408</v>
      </c>
      <c r="D419" s="35">
        <v>11295</v>
      </c>
      <c r="E419" s="35"/>
      <c r="F419" s="35"/>
      <c r="G419" s="33" t="s">
        <v>1567</v>
      </c>
      <c r="H419" s="33" t="s">
        <v>1568</v>
      </c>
    </row>
    <row r="420" spans="2:8" x14ac:dyDescent="0.35">
      <c r="B420" s="33" t="s">
        <v>2580</v>
      </c>
      <c r="C420" s="33" t="s">
        <v>2596</v>
      </c>
      <c r="D420" s="35">
        <v>11000</v>
      </c>
      <c r="E420" s="35"/>
      <c r="F420" s="35"/>
      <c r="G420" s="33" t="s">
        <v>2597</v>
      </c>
      <c r="H420" s="33" t="s">
        <v>2598</v>
      </c>
    </row>
    <row r="421" spans="2:8" x14ac:dyDescent="0.35">
      <c r="B421" s="33" t="s">
        <v>2580</v>
      </c>
      <c r="C421" s="33" t="s">
        <v>2404</v>
      </c>
      <c r="D421" s="35">
        <v>11000</v>
      </c>
      <c r="E421" s="35"/>
      <c r="F421" s="35"/>
      <c r="G421" s="33" t="s">
        <v>2415</v>
      </c>
      <c r="H421" s="33" t="s">
        <v>2416</v>
      </c>
    </row>
    <row r="422" spans="2:8" x14ac:dyDescent="0.35">
      <c r="B422" s="33" t="s">
        <v>2580</v>
      </c>
      <c r="C422" s="33" t="s">
        <v>2417</v>
      </c>
      <c r="D422" s="35">
        <v>10880</v>
      </c>
      <c r="E422" s="35"/>
      <c r="F422" s="35"/>
      <c r="G422" s="33" t="s">
        <v>2418</v>
      </c>
      <c r="H422" s="33" t="s">
        <v>2419</v>
      </c>
    </row>
    <row r="423" spans="2:8" x14ac:dyDescent="0.35">
      <c r="B423" s="33" t="s">
        <v>2580</v>
      </c>
      <c r="C423" s="33" t="s">
        <v>2423</v>
      </c>
      <c r="D423" s="35">
        <v>10636</v>
      </c>
      <c r="E423" s="35"/>
      <c r="F423" s="35"/>
      <c r="G423" s="33" t="s">
        <v>2424</v>
      </c>
      <c r="H423" s="33" t="s">
        <v>2425</v>
      </c>
    </row>
    <row r="424" spans="2:8" x14ac:dyDescent="0.35">
      <c r="B424" s="33" t="s">
        <v>2580</v>
      </c>
      <c r="C424" s="33" t="s">
        <v>2429</v>
      </c>
      <c r="D424" s="35">
        <v>10200</v>
      </c>
      <c r="E424" s="35"/>
      <c r="F424" s="35"/>
      <c r="G424" s="33" t="s">
        <v>2430</v>
      </c>
      <c r="H424" s="33" t="s">
        <v>2431</v>
      </c>
    </row>
    <row r="425" spans="2:8" x14ac:dyDescent="0.35">
      <c r="B425" s="33" t="s">
        <v>2581</v>
      </c>
      <c r="C425" s="33" t="s">
        <v>2582</v>
      </c>
      <c r="D425" s="35">
        <v>10000</v>
      </c>
      <c r="E425" s="34"/>
      <c r="F425" s="34"/>
      <c r="G425" s="33" t="s">
        <v>2144</v>
      </c>
      <c r="H425" s="33" t="s">
        <v>2145</v>
      </c>
    </row>
    <row r="426" spans="2:8" x14ac:dyDescent="0.35">
      <c r="B426" s="33" t="s">
        <v>2603</v>
      </c>
      <c r="C426" s="33" t="s">
        <v>2604</v>
      </c>
      <c r="D426" s="35">
        <v>10000</v>
      </c>
      <c r="E426" s="35"/>
      <c r="F426" s="35"/>
      <c r="G426" s="33" t="s">
        <v>45</v>
      </c>
      <c r="H426" s="33" t="s">
        <v>46</v>
      </c>
    </row>
    <row r="427" spans="2:8" x14ac:dyDescent="0.35">
      <c r="B427" s="33" t="s">
        <v>2580</v>
      </c>
      <c r="C427" s="33" t="s">
        <v>2412</v>
      </c>
      <c r="D427" s="35">
        <v>10000</v>
      </c>
      <c r="E427" s="35"/>
      <c r="F427" s="35"/>
      <c r="G427" s="33" t="s">
        <v>2413</v>
      </c>
      <c r="H427" s="33" t="s">
        <v>2414</v>
      </c>
    </row>
    <row r="428" spans="2:8" x14ac:dyDescent="0.35">
      <c r="B428" s="33" t="s">
        <v>617</v>
      </c>
      <c r="C428" s="33" t="s">
        <v>653</v>
      </c>
      <c r="D428" s="35">
        <v>10000</v>
      </c>
      <c r="E428" s="35"/>
      <c r="F428" s="35"/>
      <c r="G428" s="33" t="s">
        <v>2329</v>
      </c>
      <c r="H428" s="33" t="s">
        <v>2330</v>
      </c>
    </row>
    <row r="429" spans="2:8" x14ac:dyDescent="0.35">
      <c r="B429" s="33" t="s">
        <v>617</v>
      </c>
      <c r="C429" s="33" t="s">
        <v>2437</v>
      </c>
      <c r="D429" s="35">
        <v>9456</v>
      </c>
      <c r="E429" s="35"/>
      <c r="F429" s="35"/>
      <c r="G429" s="33" t="s">
        <v>652</v>
      </c>
      <c r="H429" s="33" t="s">
        <v>2438</v>
      </c>
    </row>
    <row r="430" spans="2:8" x14ac:dyDescent="0.35">
      <c r="B430" s="33" t="s">
        <v>2580</v>
      </c>
      <c r="C430" s="33" t="s">
        <v>2434</v>
      </c>
      <c r="D430" s="35">
        <v>9215</v>
      </c>
      <c r="E430" s="35"/>
      <c r="F430" s="35"/>
      <c r="G430" s="33" t="s">
        <v>2435</v>
      </c>
      <c r="H430" s="33" t="s">
        <v>2436</v>
      </c>
    </row>
    <row r="431" spans="2:8" x14ac:dyDescent="0.35">
      <c r="B431" s="33" t="s">
        <v>2580</v>
      </c>
      <c r="C431" s="33" t="s">
        <v>2448</v>
      </c>
      <c r="D431" s="35">
        <v>7560</v>
      </c>
      <c r="E431" s="35"/>
      <c r="F431" s="35"/>
      <c r="G431" s="33" t="s">
        <v>2449</v>
      </c>
      <c r="H431" s="33" t="s">
        <v>2450</v>
      </c>
    </row>
    <row r="432" spans="2:8" x14ac:dyDescent="0.35">
      <c r="B432" s="33" t="s">
        <v>2580</v>
      </c>
      <c r="C432" s="33" t="s">
        <v>2445</v>
      </c>
      <c r="D432" s="35">
        <v>7200</v>
      </c>
      <c r="E432" s="35"/>
      <c r="F432" s="35"/>
      <c r="G432" s="33" t="s">
        <v>2446</v>
      </c>
      <c r="H432" s="33" t="s">
        <v>2447</v>
      </c>
    </row>
    <row r="433" spans="2:8" x14ac:dyDescent="0.35">
      <c r="B433" s="33" t="s">
        <v>2580</v>
      </c>
      <c r="C433" s="33" t="s">
        <v>2375</v>
      </c>
      <c r="D433" s="35">
        <v>7100</v>
      </c>
      <c r="E433" s="35"/>
      <c r="F433" s="35"/>
      <c r="G433" s="33" t="s">
        <v>2453</v>
      </c>
      <c r="H433" s="33" t="s">
        <v>2454</v>
      </c>
    </row>
    <row r="434" spans="2:8" x14ac:dyDescent="0.35">
      <c r="B434" s="33" t="s">
        <v>2580</v>
      </c>
      <c r="C434" s="33" t="s">
        <v>2455</v>
      </c>
      <c r="D434" s="35">
        <v>7020</v>
      </c>
      <c r="E434" s="35"/>
      <c r="F434" s="35"/>
      <c r="G434" s="33" t="s">
        <v>2456</v>
      </c>
      <c r="H434" s="33" t="s">
        <v>2457</v>
      </c>
    </row>
    <row r="435" spans="2:8" x14ac:dyDescent="0.35">
      <c r="B435" s="33" t="s">
        <v>2584</v>
      </c>
      <c r="C435" s="33" t="s">
        <v>2238</v>
      </c>
      <c r="D435" s="35">
        <v>7000</v>
      </c>
      <c r="E435" s="35"/>
      <c r="F435" s="35"/>
      <c r="G435" s="33" t="s">
        <v>2458</v>
      </c>
      <c r="H435" s="33" t="s">
        <v>2459</v>
      </c>
    </row>
    <row r="436" spans="2:8" x14ac:dyDescent="0.35">
      <c r="B436" s="33" t="s">
        <v>2580</v>
      </c>
      <c r="C436" s="33" t="s">
        <v>2471</v>
      </c>
      <c r="D436" s="35">
        <v>6600</v>
      </c>
      <c r="E436" s="35"/>
      <c r="F436" s="35"/>
      <c r="G436" s="33" t="s">
        <v>2472</v>
      </c>
      <c r="H436" s="33" t="s">
        <v>2473</v>
      </c>
    </row>
    <row r="437" spans="2:8" x14ac:dyDescent="0.35">
      <c r="B437" s="33" t="s">
        <v>2581</v>
      </c>
      <c r="C437" s="33" t="s">
        <v>2460</v>
      </c>
      <c r="D437" s="35">
        <v>6420</v>
      </c>
      <c r="E437" s="35"/>
      <c r="F437" s="35"/>
      <c r="G437" s="33" t="s">
        <v>2461</v>
      </c>
      <c r="H437" s="33" t="s">
        <v>2462</v>
      </c>
    </row>
    <row r="438" spans="2:8" x14ac:dyDescent="0.35">
      <c r="B438" s="33" t="s">
        <v>2581</v>
      </c>
      <c r="C438" s="33" t="s">
        <v>2460</v>
      </c>
      <c r="D438" s="35">
        <v>6420</v>
      </c>
      <c r="E438" s="35"/>
      <c r="F438" s="35"/>
      <c r="G438" s="33" t="s">
        <v>2463</v>
      </c>
      <c r="H438" s="33" t="s">
        <v>2464</v>
      </c>
    </row>
    <row r="439" spans="2:8" x14ac:dyDescent="0.35">
      <c r="B439" s="33" t="s">
        <v>2580</v>
      </c>
      <c r="C439" s="33" t="s">
        <v>607</v>
      </c>
      <c r="D439" s="35">
        <v>6000</v>
      </c>
      <c r="E439" s="35"/>
      <c r="F439" s="35"/>
      <c r="G439" s="33" t="s">
        <v>608</v>
      </c>
      <c r="H439" s="33" t="s">
        <v>609</v>
      </c>
    </row>
    <row r="440" spans="2:8" x14ac:dyDescent="0.35">
      <c r="B440" s="33" t="s">
        <v>2581</v>
      </c>
      <c r="C440" s="33" t="s">
        <v>640</v>
      </c>
      <c r="D440" s="35">
        <v>6000</v>
      </c>
      <c r="E440" s="35"/>
      <c r="F440" s="35"/>
      <c r="G440" s="33" t="s">
        <v>2451</v>
      </c>
      <c r="H440" s="33" t="s">
        <v>2452</v>
      </c>
    </row>
    <row r="441" spans="2:8" x14ac:dyDescent="0.35">
      <c r="B441" s="33" t="s">
        <v>2581</v>
      </c>
      <c r="C441" s="33" t="s">
        <v>646</v>
      </c>
      <c r="D441" s="35">
        <v>6000</v>
      </c>
      <c r="E441" s="35"/>
      <c r="F441" s="35"/>
      <c r="G441" s="33" t="s">
        <v>2483</v>
      </c>
      <c r="H441" s="33" t="s">
        <v>2484</v>
      </c>
    </row>
    <row r="442" spans="2:8" x14ac:dyDescent="0.35">
      <c r="B442" s="33" t="s">
        <v>2581</v>
      </c>
      <c r="C442" s="33" t="s">
        <v>2465</v>
      </c>
      <c r="D442" s="35">
        <v>5962</v>
      </c>
      <c r="E442" s="35"/>
      <c r="F442" s="35"/>
      <c r="G442" s="33" t="s">
        <v>2466</v>
      </c>
      <c r="H442" s="33" t="s">
        <v>2467</v>
      </c>
    </row>
    <row r="443" spans="2:8" x14ac:dyDescent="0.35">
      <c r="B443" s="33" t="s">
        <v>2580</v>
      </c>
      <c r="C443" s="33" t="s">
        <v>2468</v>
      </c>
      <c r="D443" s="35">
        <v>5580</v>
      </c>
      <c r="E443" s="35"/>
      <c r="F443" s="35"/>
      <c r="G443" s="33" t="s">
        <v>2469</v>
      </c>
      <c r="H443" s="33" t="s">
        <v>2470</v>
      </c>
    </row>
    <row r="444" spans="2:8" x14ac:dyDescent="0.35">
      <c r="B444" s="33" t="s">
        <v>2580</v>
      </c>
      <c r="C444" s="33" t="s">
        <v>2474</v>
      </c>
      <c r="D444" s="35">
        <v>5558</v>
      </c>
      <c r="E444" s="35"/>
      <c r="F444" s="35"/>
      <c r="G444" s="33" t="s">
        <v>2475</v>
      </c>
      <c r="H444" s="33" t="s">
        <v>2476</v>
      </c>
    </row>
    <row r="445" spans="2:8" x14ac:dyDescent="0.35">
      <c r="B445" s="33" t="s">
        <v>2580</v>
      </c>
      <c r="C445" s="33" t="s">
        <v>2479</v>
      </c>
      <c r="D445" s="35">
        <v>5200</v>
      </c>
      <c r="E445" s="35"/>
      <c r="F445" s="35"/>
      <c r="G445" s="33" t="s">
        <v>2480</v>
      </c>
      <c r="H445" s="33" t="s">
        <v>2481</v>
      </c>
    </row>
    <row r="446" spans="2:8" x14ac:dyDescent="0.35">
      <c r="B446" s="33" t="s">
        <v>2580</v>
      </c>
      <c r="C446" s="33" t="s">
        <v>621</v>
      </c>
      <c r="D446" s="35">
        <v>5200</v>
      </c>
      <c r="E446" s="35"/>
      <c r="F446" s="35"/>
      <c r="G446" s="33" t="s">
        <v>622</v>
      </c>
      <c r="H446" s="33" t="s">
        <v>623</v>
      </c>
    </row>
    <row r="447" spans="2:8" x14ac:dyDescent="0.35">
      <c r="B447" s="33" t="s">
        <v>2580</v>
      </c>
      <c r="C447" s="33" t="s">
        <v>2482</v>
      </c>
      <c r="D447" s="35">
        <v>5200</v>
      </c>
      <c r="E447" s="35"/>
      <c r="F447" s="35"/>
      <c r="G447" s="33" t="s">
        <v>2485</v>
      </c>
      <c r="H447" s="33" t="s">
        <v>2486</v>
      </c>
    </row>
    <row r="448" spans="2:8" x14ac:dyDescent="0.35">
      <c r="B448" s="33" t="s">
        <v>2580</v>
      </c>
      <c r="C448" s="33" t="s">
        <v>2487</v>
      </c>
      <c r="D448" s="35">
        <v>5200</v>
      </c>
      <c r="E448" s="35"/>
      <c r="F448" s="35"/>
      <c r="G448" s="33" t="s">
        <v>2488</v>
      </c>
      <c r="H448" s="33" t="s">
        <v>2489</v>
      </c>
    </row>
    <row r="449" spans="2:8" x14ac:dyDescent="0.35">
      <c r="B449" s="33" t="s">
        <v>2580</v>
      </c>
      <c r="C449" s="33" t="s">
        <v>606</v>
      </c>
      <c r="D449" s="35">
        <v>5000</v>
      </c>
      <c r="E449" s="35"/>
      <c r="F449" s="35"/>
      <c r="G449" s="33" t="s">
        <v>2477</v>
      </c>
      <c r="H449" s="33" t="s">
        <v>2478</v>
      </c>
    </row>
    <row r="450" spans="2:8" x14ac:dyDescent="0.35">
      <c r="B450" s="33" t="s">
        <v>2580</v>
      </c>
      <c r="C450" s="33" t="s">
        <v>2479</v>
      </c>
      <c r="D450" s="35">
        <v>4704</v>
      </c>
      <c r="E450" s="35"/>
      <c r="F450" s="35"/>
      <c r="G450" s="33" t="s">
        <v>2490</v>
      </c>
      <c r="H450" s="33" t="s">
        <v>2491</v>
      </c>
    </row>
    <row r="451" spans="2:8" x14ac:dyDescent="0.35">
      <c r="B451" s="33" t="s">
        <v>2580</v>
      </c>
      <c r="C451" s="33" t="s">
        <v>2492</v>
      </c>
      <c r="D451" s="35">
        <v>4422</v>
      </c>
      <c r="E451" s="35"/>
      <c r="F451" s="35"/>
      <c r="G451" s="33" t="s">
        <v>2493</v>
      </c>
      <c r="H451" s="33" t="s">
        <v>2494</v>
      </c>
    </row>
    <row r="452" spans="2:8" x14ac:dyDescent="0.35">
      <c r="B452" s="33" t="s">
        <v>2580</v>
      </c>
      <c r="C452" s="33" t="s">
        <v>2439</v>
      </c>
      <c r="D452" s="35">
        <v>4390</v>
      </c>
      <c r="E452" s="35"/>
      <c r="F452" s="35"/>
      <c r="G452" s="33" t="s">
        <v>2440</v>
      </c>
      <c r="H452" s="33" t="s">
        <v>2441</v>
      </c>
    </row>
    <row r="453" spans="2:8" x14ac:dyDescent="0.35">
      <c r="B453" s="33" t="s">
        <v>2581</v>
      </c>
      <c r="C453" s="33" t="s">
        <v>2442</v>
      </c>
      <c r="D453" s="35">
        <v>4201</v>
      </c>
      <c r="E453" s="35"/>
      <c r="F453" s="35"/>
      <c r="G453" s="33" t="s">
        <v>660</v>
      </c>
      <c r="H453" s="33" t="s">
        <v>661</v>
      </c>
    </row>
    <row r="454" spans="2:8" x14ac:dyDescent="0.35">
      <c r="B454" s="33" t="s">
        <v>2580</v>
      </c>
      <c r="C454" s="33" t="s">
        <v>2439</v>
      </c>
      <c r="D454" s="35">
        <v>4200</v>
      </c>
      <c r="E454" s="35"/>
      <c r="F454" s="35"/>
      <c r="G454" s="33" t="s">
        <v>664</v>
      </c>
      <c r="H454" s="33" t="s">
        <v>665</v>
      </c>
    </row>
    <row r="455" spans="2:8" x14ac:dyDescent="0.35">
      <c r="B455" s="33" t="s">
        <v>2581</v>
      </c>
      <c r="C455" s="33" t="s">
        <v>2442</v>
      </c>
      <c r="D455" s="35">
        <v>4078</v>
      </c>
      <c r="E455" s="35"/>
      <c r="F455" s="35"/>
      <c r="G455" s="33" t="s">
        <v>2443</v>
      </c>
      <c r="H455" s="33" t="s">
        <v>2444</v>
      </c>
    </row>
    <row r="456" spans="2:8" x14ac:dyDescent="0.35">
      <c r="B456" s="33" t="s">
        <v>2580</v>
      </c>
      <c r="C456" s="33" t="s">
        <v>2492</v>
      </c>
      <c r="D456" s="35">
        <v>2948</v>
      </c>
      <c r="E456" s="35"/>
      <c r="F456" s="35"/>
      <c r="G456" s="33" t="s">
        <v>2495</v>
      </c>
      <c r="H456" s="33" t="s">
        <v>2496</v>
      </c>
    </row>
    <row r="457" spans="2:8" x14ac:dyDescent="0.35">
      <c r="B457" s="33" t="s">
        <v>2580</v>
      </c>
      <c r="C457" s="33" t="s">
        <v>1720</v>
      </c>
      <c r="D457" s="35">
        <v>2600</v>
      </c>
      <c r="E457" s="35"/>
      <c r="F457" s="35"/>
      <c r="G457" s="33" t="s">
        <v>1721</v>
      </c>
      <c r="H457" s="33" t="s">
        <v>1722</v>
      </c>
    </row>
    <row r="458" spans="2:8" x14ac:dyDescent="0.35">
      <c r="B458" s="33" t="s">
        <v>2580</v>
      </c>
      <c r="C458" s="33" t="s">
        <v>1922</v>
      </c>
      <c r="D458" s="35">
        <v>600</v>
      </c>
      <c r="E458" s="35"/>
      <c r="F458" s="35"/>
      <c r="G458" s="33" t="s">
        <v>1439</v>
      </c>
      <c r="H458" s="33" t="s">
        <v>1440</v>
      </c>
    </row>
    <row r="459" spans="2:8" x14ac:dyDescent="0.35">
      <c r="B459" s="33" t="s">
        <v>2580</v>
      </c>
      <c r="C459" s="33" t="s">
        <v>2588</v>
      </c>
      <c r="D459" s="35">
        <v>0</v>
      </c>
      <c r="E459" s="35"/>
      <c r="F459" s="35"/>
      <c r="G459" s="33" t="s">
        <v>454</v>
      </c>
      <c r="H459" s="33" t="s">
        <v>455</v>
      </c>
    </row>
    <row r="460" spans="2:8" x14ac:dyDescent="0.35">
      <c r="B460" s="33" t="s">
        <v>2580</v>
      </c>
      <c r="C460" s="33" t="s">
        <v>2590</v>
      </c>
      <c r="D460" s="35">
        <v>0</v>
      </c>
      <c r="E460" s="35"/>
      <c r="F460" s="35"/>
      <c r="G460" s="33" t="s">
        <v>1796</v>
      </c>
      <c r="H460" s="33" t="s">
        <v>1797</v>
      </c>
    </row>
    <row r="461" spans="2:8" x14ac:dyDescent="0.35">
      <c r="B461" s="33" t="s">
        <v>2580</v>
      </c>
      <c r="C461" s="33" t="s">
        <v>2497</v>
      </c>
      <c r="D461" s="35">
        <v>0</v>
      </c>
      <c r="E461" s="35"/>
      <c r="F461" s="35"/>
      <c r="G461" s="33" t="s">
        <v>2498</v>
      </c>
      <c r="H461" s="33" t="s">
        <v>2499</v>
      </c>
    </row>
    <row r="462" spans="2:8" x14ac:dyDescent="0.35">
      <c r="B462" s="33" t="s">
        <v>2580</v>
      </c>
      <c r="C462" s="33" t="s">
        <v>645</v>
      </c>
      <c r="D462" s="35">
        <v>0</v>
      </c>
      <c r="E462" s="35"/>
      <c r="F462" s="35"/>
      <c r="G462" s="33" t="s">
        <v>1660</v>
      </c>
      <c r="H462" s="33" t="s">
        <v>1661</v>
      </c>
    </row>
    <row r="463" spans="2:8" x14ac:dyDescent="0.35">
      <c r="B463" s="33" t="s">
        <v>2581</v>
      </c>
      <c r="C463" s="33" t="s">
        <v>2500</v>
      </c>
      <c r="D463" s="35">
        <v>0</v>
      </c>
      <c r="E463" s="35"/>
      <c r="F463" s="35"/>
      <c r="G463" s="33" t="s">
        <v>2501</v>
      </c>
      <c r="H463" s="33" t="s">
        <v>2502</v>
      </c>
    </row>
    <row r="464" spans="2:8" x14ac:dyDescent="0.35">
      <c r="B464" s="33" t="s">
        <v>2580</v>
      </c>
      <c r="C464" s="33" t="s">
        <v>2503</v>
      </c>
      <c r="D464" s="35">
        <v>0</v>
      </c>
      <c r="E464" s="35"/>
      <c r="F464" s="35"/>
      <c r="G464" s="33" t="s">
        <v>2504</v>
      </c>
      <c r="H464" s="33" t="s">
        <v>2505</v>
      </c>
    </row>
  </sheetData>
  <phoneticPr fontId="0" type="noConversion"/>
  <pageMargins left="0.75" right="0.75" top="1" bottom="1" header="0.5" footer="0.5"/>
  <pageSetup orientation="portrait" r:id="rId1"/>
  <headerFooter alignWithMargins="0">
    <oddHeader>&amp;A</oddHeader>
    <oddFoote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6"/>
  <sheetViews>
    <sheetView topLeftCell="A55" workbookViewId="0">
      <selection activeCell="E76" sqref="E76"/>
    </sheetView>
  </sheetViews>
  <sheetFormatPr defaultRowHeight="12.4" x14ac:dyDescent="0.35"/>
  <cols>
    <col min="10" max="10" width="10" bestFit="1" customWidth="1"/>
  </cols>
  <sheetData>
    <row r="1" spans="1:9" x14ac:dyDescent="0.35">
      <c r="D1" s="9" t="s">
        <v>694</v>
      </c>
    </row>
    <row r="2" spans="1:9" x14ac:dyDescent="0.35">
      <c r="B2" s="9" t="s">
        <v>692</v>
      </c>
    </row>
    <row r="4" spans="1:9" x14ac:dyDescent="0.35">
      <c r="E4" s="185" t="s">
        <v>670</v>
      </c>
      <c r="F4" s="185"/>
      <c r="G4" s="185"/>
      <c r="H4" s="185"/>
      <c r="I4" s="185"/>
    </row>
    <row r="5" spans="1:9" x14ac:dyDescent="0.35">
      <c r="E5" s="185"/>
      <c r="F5" s="185"/>
      <c r="G5" s="185"/>
      <c r="H5" s="185"/>
      <c r="I5" s="185"/>
    </row>
    <row r="6" spans="1:9" x14ac:dyDescent="0.35">
      <c r="E6" s="185"/>
      <c r="F6" s="185"/>
      <c r="G6" s="185"/>
      <c r="H6" s="185"/>
      <c r="I6" s="185"/>
    </row>
    <row r="7" spans="1:9" x14ac:dyDescent="0.35">
      <c r="E7" s="185"/>
      <c r="F7" s="185"/>
      <c r="G7" s="185"/>
      <c r="H7" s="185"/>
      <c r="I7" s="185"/>
    </row>
    <row r="8" spans="1:9" x14ac:dyDescent="0.35">
      <c r="A8" s="182" t="s">
        <v>671</v>
      </c>
      <c r="B8" s="182"/>
      <c r="C8" s="182"/>
      <c r="E8" s="185"/>
      <c r="F8" s="185"/>
      <c r="G8" s="185"/>
      <c r="H8" s="185"/>
      <c r="I8" s="185"/>
    </row>
    <row r="9" spans="1:9" x14ac:dyDescent="0.35">
      <c r="A9" s="182"/>
      <c r="B9" s="182"/>
      <c r="C9" s="182"/>
      <c r="E9" s="185"/>
      <c r="F9" s="185"/>
      <c r="G9" s="185"/>
      <c r="H9" s="185"/>
      <c r="I9" s="185"/>
    </row>
    <row r="10" spans="1:9" x14ac:dyDescent="0.35">
      <c r="E10" s="185"/>
      <c r="F10" s="185"/>
      <c r="G10" s="185"/>
      <c r="H10" s="185"/>
      <c r="I10" s="185"/>
    </row>
    <row r="11" spans="1:9" x14ac:dyDescent="0.35">
      <c r="E11" s="185"/>
      <c r="F11" s="185"/>
      <c r="G11" s="185"/>
      <c r="H11" s="185"/>
      <c r="I11" s="185"/>
    </row>
    <row r="12" spans="1:9" x14ac:dyDescent="0.35">
      <c r="E12" s="185"/>
      <c r="F12" s="185"/>
      <c r="G12" s="185"/>
      <c r="H12" s="185"/>
      <c r="I12" s="185"/>
    </row>
    <row r="13" spans="1:9" x14ac:dyDescent="0.35">
      <c r="E13" s="185"/>
      <c r="F13" s="185"/>
      <c r="G13" s="185"/>
      <c r="H13" s="185"/>
      <c r="I13" s="185"/>
    </row>
    <row r="14" spans="1:9" x14ac:dyDescent="0.35">
      <c r="E14" s="185"/>
      <c r="F14" s="185"/>
      <c r="G14" s="185"/>
      <c r="H14" s="185"/>
      <c r="I14" s="185"/>
    </row>
    <row r="17" spans="1:10" x14ac:dyDescent="0.35">
      <c r="E17" s="181" t="s">
        <v>672</v>
      </c>
      <c r="F17" s="181"/>
      <c r="G17" s="181"/>
      <c r="H17" s="181"/>
      <c r="I17" s="181"/>
      <c r="J17" s="10">
        <v>57192</v>
      </c>
    </row>
    <row r="18" spans="1:10" x14ac:dyDescent="0.35">
      <c r="A18" s="182" t="s">
        <v>673</v>
      </c>
      <c r="B18" s="182"/>
      <c r="C18" s="182"/>
      <c r="E18" s="181"/>
      <c r="F18" s="181"/>
      <c r="G18" s="181"/>
      <c r="H18" s="181"/>
      <c r="I18" s="181"/>
      <c r="J18" s="42">
        <f>+J17*126/100</f>
        <v>72061.919999999998</v>
      </c>
    </row>
    <row r="19" spans="1:10" x14ac:dyDescent="0.35">
      <c r="A19" s="182"/>
      <c r="B19" s="182"/>
      <c r="C19" s="182"/>
      <c r="E19" s="181"/>
      <c r="F19" s="181"/>
      <c r="G19" s="181"/>
      <c r="H19" s="181"/>
      <c r="I19" s="181"/>
    </row>
    <row r="20" spans="1:10" x14ac:dyDescent="0.35">
      <c r="E20" s="181"/>
      <c r="F20" s="181"/>
      <c r="G20" s="181"/>
      <c r="H20" s="181"/>
      <c r="I20" s="181"/>
    </row>
    <row r="23" spans="1:10" x14ac:dyDescent="0.35">
      <c r="E23" s="181" t="s">
        <v>674</v>
      </c>
      <c r="F23" s="181"/>
      <c r="G23" s="181"/>
      <c r="H23" s="181"/>
      <c r="I23" s="181"/>
    </row>
    <row r="24" spans="1:10" x14ac:dyDescent="0.35">
      <c r="A24" s="182" t="s">
        <v>693</v>
      </c>
      <c r="B24" s="182"/>
      <c r="C24" s="182"/>
      <c r="E24" s="181"/>
      <c r="F24" s="181"/>
      <c r="G24" s="181"/>
      <c r="H24" s="181"/>
      <c r="I24" s="181"/>
    </row>
    <row r="25" spans="1:10" x14ac:dyDescent="0.35">
      <c r="A25" s="182"/>
      <c r="B25" s="182"/>
      <c r="C25" s="182"/>
      <c r="E25" s="181"/>
      <c r="F25" s="181"/>
      <c r="G25" s="181"/>
      <c r="H25" s="181"/>
      <c r="I25" s="181"/>
    </row>
    <row r="26" spans="1:10" x14ac:dyDescent="0.35">
      <c r="E26" s="181"/>
      <c r="F26" s="181"/>
      <c r="G26" s="181"/>
      <c r="H26" s="181"/>
      <c r="I26" s="181"/>
    </row>
    <row r="29" spans="1:10" x14ac:dyDescent="0.35">
      <c r="E29" s="181" t="s">
        <v>675</v>
      </c>
      <c r="F29" s="181"/>
      <c r="G29" s="181"/>
      <c r="H29" s="181"/>
      <c r="I29" s="181"/>
    </row>
    <row r="30" spans="1:10" x14ac:dyDescent="0.35">
      <c r="E30" s="181"/>
      <c r="F30" s="181"/>
      <c r="G30" s="181"/>
      <c r="H30" s="181"/>
      <c r="I30" s="181"/>
      <c r="J30" s="42">
        <f>57192*130/100</f>
        <v>74349.600000000006</v>
      </c>
    </row>
    <row r="31" spans="1:10" x14ac:dyDescent="0.35">
      <c r="E31" s="181"/>
      <c r="F31" s="181"/>
      <c r="G31" s="181"/>
      <c r="H31" s="181"/>
      <c r="I31" s="181"/>
      <c r="J31" s="42">
        <f>57192*140/100</f>
        <v>80068.800000000003</v>
      </c>
    </row>
    <row r="32" spans="1:10" x14ac:dyDescent="0.35">
      <c r="A32" s="182" t="s">
        <v>676</v>
      </c>
      <c r="B32" s="182"/>
      <c r="C32" s="182"/>
      <c r="E32" s="181"/>
      <c r="F32" s="181"/>
      <c r="G32" s="181"/>
      <c r="H32" s="181"/>
      <c r="I32" s="181"/>
    </row>
    <row r="33" spans="1:9" x14ac:dyDescent="0.35">
      <c r="A33" s="182"/>
      <c r="B33" s="182"/>
      <c r="C33" s="182"/>
      <c r="E33" s="181"/>
      <c r="F33" s="181"/>
      <c r="G33" s="181"/>
      <c r="H33" s="181"/>
      <c r="I33" s="181"/>
    </row>
    <row r="34" spans="1:9" x14ac:dyDescent="0.35">
      <c r="E34" s="181"/>
      <c r="F34" s="181"/>
      <c r="G34" s="181"/>
      <c r="H34" s="181"/>
      <c r="I34" s="181"/>
    </row>
    <row r="35" spans="1:9" x14ac:dyDescent="0.35">
      <c r="E35" s="181"/>
      <c r="F35" s="181"/>
      <c r="G35" s="181"/>
      <c r="H35" s="181"/>
      <c r="I35" s="181"/>
    </row>
    <row r="36" spans="1:9" x14ac:dyDescent="0.35">
      <c r="E36" s="181"/>
      <c r="F36" s="181"/>
      <c r="G36" s="181"/>
      <c r="H36" s="181"/>
      <c r="I36" s="181"/>
    </row>
    <row r="39" spans="1:9" x14ac:dyDescent="0.35">
      <c r="E39" s="181" t="s">
        <v>677</v>
      </c>
      <c r="F39" s="181"/>
      <c r="G39" s="181"/>
      <c r="H39" s="181"/>
      <c r="I39" s="181"/>
    </row>
    <row r="40" spans="1:9" x14ac:dyDescent="0.35">
      <c r="A40" s="182" t="s">
        <v>678</v>
      </c>
      <c r="B40" s="182"/>
      <c r="C40" s="182"/>
      <c r="E40" s="181"/>
      <c r="F40" s="181"/>
      <c r="G40" s="181"/>
      <c r="H40" s="181"/>
      <c r="I40" s="181"/>
    </row>
    <row r="41" spans="1:9" x14ac:dyDescent="0.35">
      <c r="A41" s="182"/>
      <c r="B41" s="182"/>
      <c r="C41" s="182"/>
      <c r="E41" s="181"/>
      <c r="F41" s="181"/>
      <c r="G41" s="181"/>
      <c r="H41" s="181"/>
      <c r="I41" s="181"/>
    </row>
    <row r="42" spans="1:9" x14ac:dyDescent="0.35">
      <c r="E42" s="181"/>
      <c r="F42" s="181"/>
      <c r="G42" s="181"/>
      <c r="H42" s="181"/>
      <c r="I42" s="181"/>
    </row>
    <row r="45" spans="1:9" x14ac:dyDescent="0.35">
      <c r="E45" s="181" t="s">
        <v>679</v>
      </c>
      <c r="F45" s="181"/>
      <c r="G45" s="181"/>
      <c r="H45" s="181"/>
      <c r="I45" s="181"/>
    </row>
    <row r="46" spans="1:9" x14ac:dyDescent="0.35">
      <c r="E46" s="181"/>
      <c r="F46" s="181"/>
      <c r="G46" s="181"/>
      <c r="H46" s="181"/>
      <c r="I46" s="181"/>
    </row>
    <row r="47" spans="1:9" x14ac:dyDescent="0.35">
      <c r="E47" s="181"/>
      <c r="F47" s="181"/>
      <c r="G47" s="181"/>
      <c r="H47" s="181"/>
      <c r="I47" s="181"/>
    </row>
    <row r="48" spans="1:9" x14ac:dyDescent="0.35">
      <c r="A48" s="182" t="s">
        <v>680</v>
      </c>
      <c r="B48" s="182"/>
      <c r="C48" s="182"/>
      <c r="E48" s="181"/>
      <c r="F48" s="181"/>
      <c r="G48" s="181"/>
      <c r="H48" s="181"/>
      <c r="I48" s="181"/>
    </row>
    <row r="49" spans="1:9" x14ac:dyDescent="0.35">
      <c r="A49" s="182"/>
      <c r="B49" s="182"/>
      <c r="C49" s="182"/>
      <c r="E49" s="181"/>
      <c r="F49" s="181"/>
      <c r="G49" s="181"/>
      <c r="H49" s="181"/>
      <c r="I49" s="181"/>
    </row>
    <row r="50" spans="1:9" x14ac:dyDescent="0.35">
      <c r="E50" s="181"/>
      <c r="F50" s="181"/>
      <c r="G50" s="181"/>
      <c r="H50" s="181"/>
      <c r="I50" s="181"/>
    </row>
    <row r="51" spans="1:9" x14ac:dyDescent="0.35">
      <c r="E51" s="181"/>
      <c r="F51" s="181"/>
      <c r="G51" s="181"/>
      <c r="H51" s="181"/>
      <c r="I51" s="181"/>
    </row>
    <row r="52" spans="1:9" x14ac:dyDescent="0.35">
      <c r="E52" s="181"/>
      <c r="F52" s="181"/>
      <c r="G52" s="181"/>
      <c r="H52" s="181"/>
      <c r="I52" s="181"/>
    </row>
    <row r="58" spans="1:9" x14ac:dyDescent="0.35">
      <c r="E58" s="181" t="s">
        <v>681</v>
      </c>
      <c r="F58" s="181"/>
      <c r="G58" s="181"/>
      <c r="H58" s="181"/>
      <c r="I58" s="181"/>
    </row>
    <row r="59" spans="1:9" x14ac:dyDescent="0.35">
      <c r="E59" s="181"/>
      <c r="F59" s="181"/>
      <c r="G59" s="181"/>
      <c r="H59" s="181"/>
      <c r="I59" s="181"/>
    </row>
    <row r="60" spans="1:9" ht="13.15" x14ac:dyDescent="0.4">
      <c r="A60" s="183" t="s">
        <v>682</v>
      </c>
      <c r="B60" s="183"/>
      <c r="C60" s="183"/>
      <c r="E60" s="181"/>
      <c r="F60" s="181"/>
      <c r="G60" s="181"/>
      <c r="H60" s="181"/>
      <c r="I60" s="181"/>
    </row>
    <row r="61" spans="1:9" x14ac:dyDescent="0.35">
      <c r="E61" s="181"/>
      <c r="F61" s="181"/>
      <c r="G61" s="181"/>
      <c r="H61" s="181"/>
      <c r="I61" s="181"/>
    </row>
    <row r="62" spans="1:9" x14ac:dyDescent="0.35">
      <c r="E62" s="181"/>
      <c r="F62" s="181"/>
      <c r="G62" s="181"/>
      <c r="H62" s="181"/>
      <c r="I62" s="181"/>
    </row>
    <row r="65" spans="1:9" x14ac:dyDescent="0.35">
      <c r="E65" s="181" t="s">
        <v>683</v>
      </c>
      <c r="F65" s="181"/>
      <c r="G65" s="181"/>
      <c r="H65" s="181"/>
      <c r="I65" s="181"/>
    </row>
    <row r="66" spans="1:9" x14ac:dyDescent="0.35">
      <c r="E66" s="181"/>
      <c r="F66" s="181"/>
      <c r="G66" s="181"/>
      <c r="H66" s="181"/>
      <c r="I66" s="181"/>
    </row>
    <row r="67" spans="1:9" ht="13.15" x14ac:dyDescent="0.4">
      <c r="A67" s="183" t="s">
        <v>684</v>
      </c>
      <c r="B67" s="183"/>
      <c r="C67" s="183"/>
      <c r="E67" s="181"/>
      <c r="F67" s="181"/>
      <c r="G67" s="181"/>
      <c r="H67" s="181"/>
      <c r="I67" s="181"/>
    </row>
    <row r="68" spans="1:9" x14ac:dyDescent="0.35">
      <c r="E68" s="181"/>
      <c r="F68" s="181"/>
      <c r="G68" s="181"/>
      <c r="H68" s="181"/>
      <c r="I68" s="181"/>
    </row>
    <row r="69" spans="1:9" x14ac:dyDescent="0.35">
      <c r="E69" s="181"/>
      <c r="F69" s="181"/>
      <c r="G69" s="181"/>
      <c r="H69" s="181"/>
      <c r="I69" s="181"/>
    </row>
    <row r="72" spans="1:9" x14ac:dyDescent="0.35">
      <c r="E72" s="181" t="s">
        <v>685</v>
      </c>
      <c r="F72" s="181"/>
      <c r="G72" s="181"/>
      <c r="H72" s="181"/>
      <c r="I72" s="181"/>
    </row>
    <row r="73" spans="1:9" x14ac:dyDescent="0.35">
      <c r="A73" s="182" t="s">
        <v>686</v>
      </c>
      <c r="B73" s="182"/>
      <c r="C73" s="182"/>
      <c r="E73" s="181"/>
      <c r="F73" s="181"/>
      <c r="G73" s="181"/>
      <c r="H73" s="181"/>
      <c r="I73" s="181"/>
    </row>
    <row r="74" spans="1:9" x14ac:dyDescent="0.35">
      <c r="A74" s="182"/>
      <c r="B74" s="182"/>
      <c r="C74" s="182"/>
      <c r="E74" s="181"/>
      <c r="F74" s="181"/>
      <c r="G74" s="181"/>
      <c r="H74" s="181"/>
      <c r="I74" s="181"/>
    </row>
    <row r="75" spans="1:9" x14ac:dyDescent="0.35">
      <c r="E75" s="181"/>
      <c r="F75" s="181"/>
      <c r="G75" s="181"/>
      <c r="H75" s="181"/>
      <c r="I75" s="181"/>
    </row>
    <row r="76" spans="1:9" ht="13.15" x14ac:dyDescent="0.4">
      <c r="E76" s="41"/>
    </row>
    <row r="77" spans="1:9" ht="13.15" x14ac:dyDescent="0.4">
      <c r="E77" s="41"/>
    </row>
    <row r="78" spans="1:9" x14ac:dyDescent="0.35">
      <c r="E78" s="181" t="s">
        <v>687</v>
      </c>
      <c r="F78" s="181"/>
      <c r="G78" s="181"/>
      <c r="H78" s="181"/>
      <c r="I78" s="181"/>
    </row>
    <row r="79" spans="1:9" x14ac:dyDescent="0.35">
      <c r="A79" s="182" t="s">
        <v>688</v>
      </c>
      <c r="B79" s="182"/>
      <c r="C79" s="182"/>
      <c r="E79" s="181"/>
      <c r="F79" s="181"/>
      <c r="G79" s="181"/>
      <c r="H79" s="181"/>
      <c r="I79" s="181"/>
    </row>
    <row r="80" spans="1:9" x14ac:dyDescent="0.35">
      <c r="A80" s="182"/>
      <c r="B80" s="182"/>
      <c r="C80" s="182"/>
      <c r="E80" s="181"/>
      <c r="F80" s="181"/>
      <c r="G80" s="181"/>
      <c r="H80" s="181"/>
      <c r="I80" s="181"/>
    </row>
    <row r="81" spans="1:9" x14ac:dyDescent="0.35">
      <c r="E81" s="181"/>
      <c r="F81" s="181"/>
      <c r="G81" s="181"/>
      <c r="H81" s="181"/>
      <c r="I81" s="181"/>
    </row>
    <row r="84" spans="1:9" x14ac:dyDescent="0.35">
      <c r="E84" s="181" t="s">
        <v>689</v>
      </c>
      <c r="F84" s="181"/>
      <c r="G84" s="181"/>
      <c r="H84" s="181"/>
      <c r="I84" s="181"/>
    </row>
    <row r="85" spans="1:9" x14ac:dyDescent="0.35">
      <c r="E85" s="181"/>
      <c r="F85" s="181"/>
      <c r="G85" s="181"/>
      <c r="H85" s="181"/>
      <c r="I85" s="181"/>
    </row>
    <row r="86" spans="1:9" ht="13.15" x14ac:dyDescent="0.4">
      <c r="A86" s="184" t="s">
        <v>690</v>
      </c>
      <c r="B86" s="184"/>
      <c r="C86" s="184"/>
      <c r="E86" s="181"/>
      <c r="F86" s="181"/>
      <c r="G86" s="181"/>
      <c r="H86" s="181"/>
      <c r="I86" s="181"/>
    </row>
    <row r="87" spans="1:9" x14ac:dyDescent="0.35">
      <c r="E87" s="181"/>
      <c r="F87" s="181"/>
      <c r="G87" s="181"/>
      <c r="H87" s="181"/>
      <c r="I87" s="181"/>
    </row>
    <row r="88" spans="1:9" x14ac:dyDescent="0.35">
      <c r="E88" s="181"/>
      <c r="F88" s="181"/>
      <c r="G88" s="181"/>
      <c r="H88" s="181"/>
      <c r="I88" s="181"/>
    </row>
    <row r="89" spans="1:9" x14ac:dyDescent="0.35">
      <c r="E89" s="181"/>
      <c r="F89" s="181"/>
      <c r="G89" s="181"/>
      <c r="H89" s="181"/>
      <c r="I89" s="181"/>
    </row>
    <row r="90" spans="1:9" x14ac:dyDescent="0.35">
      <c r="E90" s="181"/>
      <c r="F90" s="181"/>
      <c r="G90" s="181"/>
      <c r="H90" s="181"/>
      <c r="I90" s="181"/>
    </row>
    <row r="93" spans="1:9" x14ac:dyDescent="0.35">
      <c r="E93" s="181" t="s">
        <v>691</v>
      </c>
      <c r="F93" s="181"/>
      <c r="G93" s="181"/>
      <c r="H93" s="181"/>
      <c r="I93" s="181"/>
    </row>
    <row r="94" spans="1:9" x14ac:dyDescent="0.35">
      <c r="A94" s="182" t="s">
        <v>686</v>
      </c>
      <c r="B94" s="182"/>
      <c r="C94" s="182"/>
      <c r="E94" s="181"/>
      <c r="F94" s="181"/>
      <c r="G94" s="181"/>
      <c r="H94" s="181"/>
      <c r="I94" s="181"/>
    </row>
    <row r="95" spans="1:9" x14ac:dyDescent="0.35">
      <c r="A95" s="182"/>
      <c r="B95" s="182"/>
      <c r="C95" s="182"/>
      <c r="E95" s="181"/>
      <c r="F95" s="181"/>
      <c r="G95" s="181"/>
      <c r="H95" s="181"/>
      <c r="I95" s="181"/>
    </row>
    <row r="96" spans="1:9" x14ac:dyDescent="0.35">
      <c r="E96" s="181"/>
      <c r="F96" s="181"/>
      <c r="G96" s="181"/>
      <c r="H96" s="181"/>
      <c r="I96" s="181"/>
    </row>
  </sheetData>
  <mergeCells count="24">
    <mergeCell ref="E29:I36"/>
    <mergeCell ref="A32:C33"/>
    <mergeCell ref="E4:I14"/>
    <mergeCell ref="A8:C9"/>
    <mergeCell ref="E17:I20"/>
    <mergeCell ref="A18:C19"/>
    <mergeCell ref="E23:I26"/>
    <mergeCell ref="A24:C25"/>
    <mergeCell ref="E39:I42"/>
    <mergeCell ref="A40:C41"/>
    <mergeCell ref="E45:I52"/>
    <mergeCell ref="A48:C49"/>
    <mergeCell ref="E93:I96"/>
    <mergeCell ref="A94:C95"/>
    <mergeCell ref="E58:I62"/>
    <mergeCell ref="A60:C60"/>
    <mergeCell ref="E65:I69"/>
    <mergeCell ref="A67:C67"/>
    <mergeCell ref="E72:I75"/>
    <mergeCell ref="A73:C74"/>
    <mergeCell ref="E78:I81"/>
    <mergeCell ref="A79:C80"/>
    <mergeCell ref="E84:I90"/>
    <mergeCell ref="A86:C86"/>
  </mergeCells>
  <phoneticPr fontId="0"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1"/>
  <sheetViews>
    <sheetView workbookViewId="0">
      <selection activeCell="E12" sqref="E12"/>
    </sheetView>
  </sheetViews>
  <sheetFormatPr defaultRowHeight="12.4" x14ac:dyDescent="0.35"/>
  <cols>
    <col min="2" max="2" width="28" customWidth="1"/>
    <col min="3" max="3" width="21.140625" customWidth="1"/>
    <col min="4" max="4" width="37.42578125" bestFit="1" customWidth="1"/>
    <col min="5" max="5" width="14.85546875" bestFit="1" customWidth="1"/>
  </cols>
  <sheetData>
    <row r="1" spans="1:5" ht="15" x14ac:dyDescent="0.4">
      <c r="B1" s="46"/>
      <c r="C1" s="46"/>
      <c r="D1" s="46"/>
    </row>
    <row r="2" spans="1:5" ht="15" x14ac:dyDescent="0.4">
      <c r="B2" s="51" t="s">
        <v>724</v>
      </c>
      <c r="C2" s="51" t="s">
        <v>725</v>
      </c>
      <c r="D2" s="46" t="s">
        <v>727</v>
      </c>
    </row>
    <row r="3" spans="1:5" ht="15" x14ac:dyDescent="0.4">
      <c r="B3" s="46"/>
      <c r="C3" s="51" t="s">
        <v>726</v>
      </c>
      <c r="D3" s="51"/>
      <c r="E3" s="38"/>
    </row>
    <row r="4" spans="1:5" ht="15" x14ac:dyDescent="0.4">
      <c r="B4" s="46"/>
      <c r="C4" s="51">
        <v>2008</v>
      </c>
      <c r="D4" s="46"/>
    </row>
    <row r="5" spans="1:5" ht="15" x14ac:dyDescent="0.4">
      <c r="B5" s="46"/>
      <c r="C5" s="51"/>
      <c r="D5" s="46"/>
    </row>
    <row r="6" spans="1:5" ht="15" x14ac:dyDescent="0.4">
      <c r="A6" s="4">
        <v>1</v>
      </c>
      <c r="B6" s="46" t="s">
        <v>1417</v>
      </c>
      <c r="C6" s="47">
        <v>126984</v>
      </c>
      <c r="D6" s="46" t="s">
        <v>1418</v>
      </c>
      <c r="E6" s="52">
        <f>+C6*3/100+C6</f>
        <v>130793.52</v>
      </c>
    </row>
    <row r="7" spans="1:5" ht="15" x14ac:dyDescent="0.4">
      <c r="A7" s="4">
        <v>2</v>
      </c>
      <c r="B7" s="46" t="s">
        <v>1414</v>
      </c>
      <c r="C7" s="47">
        <v>126605</v>
      </c>
      <c r="D7" s="46" t="s">
        <v>1415</v>
      </c>
      <c r="E7" s="52">
        <f t="shared" ref="E7:E25" si="0">+C7*3/100+C7</f>
        <v>130403.15</v>
      </c>
    </row>
    <row r="8" spans="1:5" ht="15" x14ac:dyDescent="0.4">
      <c r="A8" s="4">
        <v>3</v>
      </c>
      <c r="B8" s="46" t="s">
        <v>1420</v>
      </c>
      <c r="C8" s="47">
        <v>109920</v>
      </c>
      <c r="D8" s="46" t="s">
        <v>1421</v>
      </c>
      <c r="E8" s="52">
        <f t="shared" si="0"/>
        <v>113217.60000000001</v>
      </c>
    </row>
    <row r="9" spans="1:5" ht="15" x14ac:dyDescent="0.4">
      <c r="A9" s="4">
        <v>4</v>
      </c>
      <c r="B9" s="46" t="s">
        <v>1423</v>
      </c>
      <c r="C9" s="47">
        <v>98345</v>
      </c>
      <c r="D9" s="46" t="s">
        <v>1424</v>
      </c>
      <c r="E9" s="52">
        <f t="shared" si="0"/>
        <v>101295.35</v>
      </c>
    </row>
    <row r="10" spans="1:5" ht="15" x14ac:dyDescent="0.4">
      <c r="A10" s="4">
        <v>5</v>
      </c>
      <c r="B10" s="46" t="s">
        <v>1426</v>
      </c>
      <c r="C10" s="47">
        <v>96820</v>
      </c>
      <c r="D10" s="46" t="s">
        <v>1427</v>
      </c>
      <c r="E10" s="52">
        <f t="shared" si="0"/>
        <v>99724.6</v>
      </c>
    </row>
    <row r="11" spans="1:5" ht="15" x14ac:dyDescent="0.4">
      <c r="A11" s="4">
        <v>6</v>
      </c>
      <c r="B11" s="46" t="s">
        <v>1435</v>
      </c>
      <c r="C11" s="47">
        <v>96500</v>
      </c>
      <c r="D11" s="46" t="s">
        <v>1436</v>
      </c>
      <c r="E11" s="52">
        <f t="shared" si="0"/>
        <v>99395</v>
      </c>
    </row>
    <row r="12" spans="1:5" ht="15" x14ac:dyDescent="0.4">
      <c r="A12" s="4">
        <v>7</v>
      </c>
      <c r="B12" s="46" t="s">
        <v>1429</v>
      </c>
      <c r="C12" s="47">
        <v>96300</v>
      </c>
      <c r="D12" s="46" t="s">
        <v>1430</v>
      </c>
      <c r="E12" s="52">
        <f t="shared" si="0"/>
        <v>99189</v>
      </c>
    </row>
    <row r="13" spans="1:5" ht="15" x14ac:dyDescent="0.4">
      <c r="A13" s="4">
        <v>8</v>
      </c>
      <c r="B13" s="46" t="s">
        <v>1432</v>
      </c>
      <c r="C13" s="47">
        <v>96000</v>
      </c>
      <c r="D13" s="46" t="s">
        <v>1433</v>
      </c>
      <c r="E13" s="52">
        <f t="shared" si="0"/>
        <v>98880</v>
      </c>
    </row>
    <row r="14" spans="1:5" ht="15" x14ac:dyDescent="0.4">
      <c r="A14" s="4">
        <v>9</v>
      </c>
      <c r="B14" s="46" t="s">
        <v>1441</v>
      </c>
      <c r="C14" s="47">
        <v>95127</v>
      </c>
      <c r="D14" s="46" t="s">
        <v>1442</v>
      </c>
      <c r="E14" s="52">
        <f t="shared" si="0"/>
        <v>97980.81</v>
      </c>
    </row>
    <row r="15" spans="1:5" ht="15" x14ac:dyDescent="0.4">
      <c r="A15" s="4">
        <v>10</v>
      </c>
      <c r="B15" s="46" t="s">
        <v>1461</v>
      </c>
      <c r="C15" s="47">
        <v>95025</v>
      </c>
      <c r="D15" s="46" t="s">
        <v>1418</v>
      </c>
      <c r="E15" s="52">
        <f t="shared" si="0"/>
        <v>97875.75</v>
      </c>
    </row>
    <row r="16" spans="1:5" ht="15" x14ac:dyDescent="0.4">
      <c r="A16" s="4">
        <v>11</v>
      </c>
      <c r="B16" s="46" t="s">
        <v>1447</v>
      </c>
      <c r="C16" s="47">
        <v>94500</v>
      </c>
      <c r="D16" s="46" t="s">
        <v>1448</v>
      </c>
      <c r="E16" s="52">
        <f t="shared" si="0"/>
        <v>97335</v>
      </c>
    </row>
    <row r="17" spans="1:5" s="9" customFormat="1" ht="15" x14ac:dyDescent="0.4">
      <c r="A17" s="3">
        <v>12</v>
      </c>
      <c r="B17" s="48" t="s">
        <v>1389</v>
      </c>
      <c r="C17" s="49">
        <v>93829</v>
      </c>
      <c r="D17" s="50"/>
      <c r="E17" s="53">
        <f>+C17*5.5/100+C17</f>
        <v>98989.595000000001</v>
      </c>
    </row>
    <row r="18" spans="1:5" ht="15" x14ac:dyDescent="0.4">
      <c r="A18" s="4">
        <v>13</v>
      </c>
      <c r="B18" s="46" t="s">
        <v>1457</v>
      </c>
      <c r="C18" s="47">
        <v>93169</v>
      </c>
      <c r="D18" s="46" t="s">
        <v>1453</v>
      </c>
      <c r="E18" s="52">
        <f t="shared" si="0"/>
        <v>95964.07</v>
      </c>
    </row>
    <row r="19" spans="1:5" ht="15" x14ac:dyDescent="0.4">
      <c r="A19" s="4">
        <v>14</v>
      </c>
      <c r="B19" s="46" t="s">
        <v>1438</v>
      </c>
      <c r="C19" s="47">
        <v>93092</v>
      </c>
      <c r="D19" s="46" t="s">
        <v>1439</v>
      </c>
      <c r="E19" s="52">
        <f t="shared" si="0"/>
        <v>95884.76</v>
      </c>
    </row>
    <row r="20" spans="1:5" ht="15" x14ac:dyDescent="0.4">
      <c r="A20" s="4">
        <v>15</v>
      </c>
      <c r="B20" s="46" t="s">
        <v>1444</v>
      </c>
      <c r="C20" s="47">
        <v>91774</v>
      </c>
      <c r="D20" s="46" t="s">
        <v>1445</v>
      </c>
      <c r="E20" s="52">
        <f t="shared" si="0"/>
        <v>94527.22</v>
      </c>
    </row>
    <row r="21" spans="1:5" ht="15" x14ac:dyDescent="0.4">
      <c r="A21" s="4">
        <v>16</v>
      </c>
      <c r="B21" s="46" t="s">
        <v>1471</v>
      </c>
      <c r="C21" s="47">
        <v>91580</v>
      </c>
      <c r="D21" s="46" t="s">
        <v>1472</v>
      </c>
      <c r="E21" s="52">
        <f t="shared" si="0"/>
        <v>94327.4</v>
      </c>
    </row>
    <row r="22" spans="1:5" ht="15" x14ac:dyDescent="0.4">
      <c r="A22" s="4">
        <v>17</v>
      </c>
      <c r="B22" s="46" t="s">
        <v>1477</v>
      </c>
      <c r="C22" s="47">
        <v>88721</v>
      </c>
      <c r="D22" s="46" t="s">
        <v>1478</v>
      </c>
      <c r="E22" s="52">
        <f t="shared" si="0"/>
        <v>91382.63</v>
      </c>
    </row>
    <row r="23" spans="1:5" ht="15" x14ac:dyDescent="0.4">
      <c r="A23" s="4">
        <v>18</v>
      </c>
      <c r="B23" s="46" t="s">
        <v>1465</v>
      </c>
      <c r="C23" s="47">
        <v>87662.09</v>
      </c>
      <c r="D23" s="46" t="s">
        <v>1466</v>
      </c>
      <c r="E23" s="52">
        <f t="shared" si="0"/>
        <v>90291.952699999994</v>
      </c>
    </row>
    <row r="24" spans="1:5" ht="15" x14ac:dyDescent="0.4">
      <c r="A24" s="4">
        <v>19</v>
      </c>
      <c r="B24" s="46" t="s">
        <v>1474</v>
      </c>
      <c r="C24" s="47">
        <v>87261</v>
      </c>
      <c r="D24" s="46" t="s">
        <v>1475</v>
      </c>
      <c r="E24" s="52">
        <f t="shared" si="0"/>
        <v>89878.83</v>
      </c>
    </row>
    <row r="25" spans="1:5" ht="15" x14ac:dyDescent="0.4">
      <c r="A25" s="4">
        <v>20</v>
      </c>
      <c r="B25" s="46" t="s">
        <v>1450</v>
      </c>
      <c r="C25" s="47">
        <v>87091</v>
      </c>
      <c r="D25" s="46" t="s">
        <v>1451</v>
      </c>
      <c r="E25" s="52">
        <f t="shared" si="0"/>
        <v>89703.73</v>
      </c>
    </row>
    <row r="27" spans="1:5" x14ac:dyDescent="0.35">
      <c r="B27" s="43"/>
      <c r="C27" s="44"/>
      <c r="D27" s="43"/>
      <c r="E27" s="43"/>
    </row>
    <row r="28" spans="1:5" x14ac:dyDescent="0.35">
      <c r="B28" s="43"/>
      <c r="C28" s="44"/>
      <c r="D28" s="43"/>
      <c r="E28" s="43"/>
    </row>
    <row r="29" spans="1:5" x14ac:dyDescent="0.35">
      <c r="B29" s="43"/>
      <c r="C29" s="44"/>
      <c r="D29" s="43"/>
      <c r="E29" s="43"/>
    </row>
    <row r="30" spans="1:5" x14ac:dyDescent="0.35">
      <c r="A30">
        <v>21</v>
      </c>
      <c r="B30" s="43" t="s">
        <v>1492</v>
      </c>
      <c r="C30" s="44">
        <v>86830</v>
      </c>
      <c r="D30" s="43" t="s">
        <v>1493</v>
      </c>
      <c r="E30" s="43" t="s">
        <v>1494</v>
      </c>
    </row>
    <row r="31" spans="1:5" x14ac:dyDescent="0.35">
      <c r="B31" s="43" t="s">
        <v>1458</v>
      </c>
      <c r="C31" s="44">
        <v>85745</v>
      </c>
      <c r="D31" s="43" t="s">
        <v>1459</v>
      </c>
      <c r="E31" s="43" t="s">
        <v>1460</v>
      </c>
    </row>
    <row r="32" spans="1:5" x14ac:dyDescent="0.35">
      <c r="B32" s="43" t="s">
        <v>1468</v>
      </c>
      <c r="C32" s="44">
        <v>83342</v>
      </c>
      <c r="D32" s="43" t="s">
        <v>1469</v>
      </c>
      <c r="E32" s="43" t="s">
        <v>1470</v>
      </c>
    </row>
    <row r="33" spans="2:5" x14ac:dyDescent="0.35">
      <c r="B33" s="43" t="s">
        <v>1480</v>
      </c>
      <c r="C33" s="44">
        <v>83168</v>
      </c>
      <c r="D33" s="43" t="s">
        <v>1481</v>
      </c>
      <c r="E33" s="43" t="s">
        <v>1482</v>
      </c>
    </row>
    <row r="34" spans="2:5" x14ac:dyDescent="0.35">
      <c r="B34" s="43" t="s">
        <v>1462</v>
      </c>
      <c r="C34" s="44">
        <v>82597</v>
      </c>
      <c r="D34" s="43" t="s">
        <v>1463</v>
      </c>
      <c r="E34" s="43" t="s">
        <v>1464</v>
      </c>
    </row>
    <row r="35" spans="2:5" x14ac:dyDescent="0.35">
      <c r="B35" s="43" t="s">
        <v>1498</v>
      </c>
      <c r="C35" s="44">
        <v>82568</v>
      </c>
      <c r="D35" s="43" t="s">
        <v>1499</v>
      </c>
      <c r="E35" s="43" t="s">
        <v>1500</v>
      </c>
    </row>
    <row r="36" spans="2:5" x14ac:dyDescent="0.35">
      <c r="B36" s="43" t="s">
        <v>1489</v>
      </c>
      <c r="C36" s="44">
        <v>81901</v>
      </c>
      <c r="D36" s="43" t="s">
        <v>1490</v>
      </c>
      <c r="E36" s="43" t="s">
        <v>1491</v>
      </c>
    </row>
    <row r="37" spans="2:5" x14ac:dyDescent="0.35">
      <c r="B37" s="43" t="s">
        <v>1485</v>
      </c>
      <c r="C37" s="44">
        <v>80861</v>
      </c>
      <c r="D37" s="43" t="s">
        <v>1486</v>
      </c>
      <c r="E37" s="43" t="s">
        <v>1487</v>
      </c>
    </row>
    <row r="38" spans="2:5" x14ac:dyDescent="0.35">
      <c r="B38" s="43" t="s">
        <v>1518</v>
      </c>
      <c r="C38" s="44">
        <v>80446</v>
      </c>
      <c r="D38" s="43" t="s">
        <v>1519</v>
      </c>
      <c r="E38" s="43" t="s">
        <v>1520</v>
      </c>
    </row>
    <row r="39" spans="2:5" x14ac:dyDescent="0.35">
      <c r="B39" s="43" t="s">
        <v>1513</v>
      </c>
      <c r="C39" s="44">
        <v>80266</v>
      </c>
      <c r="D39" s="43" t="s">
        <v>1514</v>
      </c>
      <c r="E39" s="43" t="s">
        <v>1515</v>
      </c>
    </row>
    <row r="40" spans="2:5" x14ac:dyDescent="0.35">
      <c r="B40" s="43" t="s">
        <v>1504</v>
      </c>
      <c r="C40" s="44">
        <v>79750</v>
      </c>
      <c r="D40" s="43" t="s">
        <v>1505</v>
      </c>
      <c r="E40" s="43" t="s">
        <v>1506</v>
      </c>
    </row>
    <row r="41" spans="2:5" x14ac:dyDescent="0.35">
      <c r="B41" s="43" t="s">
        <v>1545</v>
      </c>
      <c r="C41" s="44">
        <v>79167</v>
      </c>
      <c r="D41" s="43" t="s">
        <v>1483</v>
      </c>
      <c r="E41" s="43" t="s">
        <v>1484</v>
      </c>
    </row>
    <row r="42" spans="2:5" x14ac:dyDescent="0.35">
      <c r="B42" s="43" t="s">
        <v>695</v>
      </c>
      <c r="C42" s="44">
        <v>79139</v>
      </c>
      <c r="D42" s="43" t="s">
        <v>1525</v>
      </c>
      <c r="E42" s="43" t="s">
        <v>1526</v>
      </c>
    </row>
    <row r="43" spans="2:5" x14ac:dyDescent="0.35">
      <c r="B43" s="43" t="s">
        <v>1548</v>
      </c>
      <c r="C43" s="44">
        <v>77597</v>
      </c>
      <c r="D43" s="43" t="s">
        <v>1549</v>
      </c>
      <c r="E43" s="43" t="s">
        <v>1550</v>
      </c>
    </row>
    <row r="44" spans="2:5" x14ac:dyDescent="0.35">
      <c r="B44" s="43" t="s">
        <v>1495</v>
      </c>
      <c r="C44" s="44">
        <v>77366</v>
      </c>
      <c r="D44" s="43" t="s">
        <v>1496</v>
      </c>
      <c r="E44" s="43" t="s">
        <v>1497</v>
      </c>
    </row>
    <row r="45" spans="2:5" x14ac:dyDescent="0.35">
      <c r="B45" s="43" t="s">
        <v>1488</v>
      </c>
      <c r="C45" s="44">
        <v>76875</v>
      </c>
      <c r="D45" s="43" t="s">
        <v>1415</v>
      </c>
      <c r="E45" s="43" t="s">
        <v>1416</v>
      </c>
    </row>
    <row r="46" spans="2:5" x14ac:dyDescent="0.35">
      <c r="B46" s="43" t="s">
        <v>610</v>
      </c>
      <c r="C46" s="44">
        <v>76833</v>
      </c>
      <c r="D46" s="43" t="s">
        <v>611</v>
      </c>
      <c r="E46" s="43" t="s">
        <v>612</v>
      </c>
    </row>
    <row r="47" spans="2:5" x14ac:dyDescent="0.35">
      <c r="B47" s="43" t="s">
        <v>1510</v>
      </c>
      <c r="C47" s="44">
        <v>76788</v>
      </c>
      <c r="D47" s="43" t="s">
        <v>1511</v>
      </c>
      <c r="E47" s="43" t="s">
        <v>1512</v>
      </c>
    </row>
    <row r="48" spans="2:5" x14ac:dyDescent="0.35">
      <c r="B48" s="43" t="s">
        <v>2585</v>
      </c>
      <c r="C48" s="44">
        <v>76434</v>
      </c>
      <c r="D48" s="43" t="s">
        <v>2586</v>
      </c>
      <c r="E48" s="43" t="s">
        <v>2587</v>
      </c>
    </row>
    <row r="49" spans="2:5" x14ac:dyDescent="0.35">
      <c r="B49" s="43" t="s">
        <v>1501</v>
      </c>
      <c r="C49" s="44">
        <v>76362</v>
      </c>
      <c r="D49" s="43" t="s">
        <v>1502</v>
      </c>
      <c r="E49" s="43" t="s">
        <v>1503</v>
      </c>
    </row>
    <row r="50" spans="2:5" x14ac:dyDescent="0.35">
      <c r="B50" s="43" t="s">
        <v>1587</v>
      </c>
      <c r="C50" s="44">
        <v>75610</v>
      </c>
      <c r="D50" s="43" t="s">
        <v>1588</v>
      </c>
      <c r="E50" s="43" t="s">
        <v>1589</v>
      </c>
    </row>
    <row r="51" spans="2:5" x14ac:dyDescent="0.35">
      <c r="B51" s="43" t="s">
        <v>1507</v>
      </c>
      <c r="C51" s="44">
        <v>75249</v>
      </c>
      <c r="D51" s="43" t="s">
        <v>1508</v>
      </c>
      <c r="E51" s="43" t="s">
        <v>1509</v>
      </c>
    </row>
    <row r="52" spans="2:5" x14ac:dyDescent="0.35">
      <c r="B52" s="43" t="s">
        <v>1533</v>
      </c>
      <c r="C52" s="44">
        <v>74332</v>
      </c>
      <c r="D52" s="43" t="s">
        <v>1534</v>
      </c>
      <c r="E52" s="43" t="s">
        <v>1535</v>
      </c>
    </row>
    <row r="53" spans="2:5" x14ac:dyDescent="0.35">
      <c r="B53" s="43" t="s">
        <v>1608</v>
      </c>
      <c r="C53" s="44">
        <v>73790</v>
      </c>
      <c r="D53" s="43" t="s">
        <v>1609</v>
      </c>
      <c r="E53" s="43" t="s">
        <v>1610</v>
      </c>
    </row>
    <row r="54" spans="2:5" x14ac:dyDescent="0.35">
      <c r="B54" s="43" t="s">
        <v>1615</v>
      </c>
      <c r="C54" s="44">
        <v>73700</v>
      </c>
      <c r="D54" s="43" t="s">
        <v>1516</v>
      </c>
      <c r="E54" s="43" t="s">
        <v>1517</v>
      </c>
    </row>
    <row r="55" spans="2:5" x14ac:dyDescent="0.35">
      <c r="B55" s="43" t="s">
        <v>1527</v>
      </c>
      <c r="C55" s="44">
        <v>73520</v>
      </c>
      <c r="D55" s="43" t="s">
        <v>1528</v>
      </c>
      <c r="E55" s="43" t="s">
        <v>1529</v>
      </c>
    </row>
    <row r="56" spans="2:5" x14ac:dyDescent="0.35">
      <c r="B56" s="43" t="s">
        <v>1557</v>
      </c>
      <c r="C56" s="44">
        <v>73414</v>
      </c>
      <c r="D56" s="43" t="s">
        <v>1558</v>
      </c>
      <c r="E56" s="43" t="s">
        <v>1559</v>
      </c>
    </row>
    <row r="57" spans="2:5" x14ac:dyDescent="0.35">
      <c r="B57" s="43" t="s">
        <v>1560</v>
      </c>
      <c r="C57" s="44">
        <v>73130</v>
      </c>
      <c r="D57" s="43" t="s">
        <v>1561</v>
      </c>
      <c r="E57" s="43" t="s">
        <v>1562</v>
      </c>
    </row>
    <row r="58" spans="2:5" x14ac:dyDescent="0.35">
      <c r="B58" s="43" t="s">
        <v>1542</v>
      </c>
      <c r="C58" s="44">
        <v>73078</v>
      </c>
      <c r="D58" s="43" t="s">
        <v>1543</v>
      </c>
      <c r="E58" s="43" t="s">
        <v>1544</v>
      </c>
    </row>
    <row r="59" spans="2:5" x14ac:dyDescent="0.35">
      <c r="B59" s="43" t="s">
        <v>1596</v>
      </c>
      <c r="C59" s="44">
        <v>72100</v>
      </c>
      <c r="D59" s="43" t="s">
        <v>1597</v>
      </c>
      <c r="E59" s="43" t="s">
        <v>1598</v>
      </c>
    </row>
    <row r="60" spans="2:5" x14ac:dyDescent="0.35">
      <c r="B60" s="43" t="s">
        <v>1563</v>
      </c>
      <c r="C60" s="44">
        <v>72011</v>
      </c>
      <c r="D60" s="43" t="s">
        <v>1564</v>
      </c>
      <c r="E60" s="43" t="s">
        <v>1565</v>
      </c>
    </row>
    <row r="61" spans="2:5" x14ac:dyDescent="0.35">
      <c r="B61" s="43" t="s">
        <v>1521</v>
      </c>
      <c r="C61" s="44">
        <v>71883</v>
      </c>
      <c r="D61" s="43" t="s">
        <v>1522</v>
      </c>
      <c r="E61" s="43" t="s">
        <v>1523</v>
      </c>
    </row>
    <row r="62" spans="2:5" x14ac:dyDescent="0.35">
      <c r="B62" s="43" t="s">
        <v>1530</v>
      </c>
      <c r="C62" s="44">
        <v>71698</v>
      </c>
      <c r="D62" s="43" t="s">
        <v>1531</v>
      </c>
      <c r="E62" s="43" t="s">
        <v>1532</v>
      </c>
    </row>
    <row r="63" spans="2:5" x14ac:dyDescent="0.35">
      <c r="B63" s="43" t="s">
        <v>1566</v>
      </c>
      <c r="C63" s="44">
        <v>71400</v>
      </c>
      <c r="D63" s="43" t="s">
        <v>1567</v>
      </c>
      <c r="E63" s="43" t="s">
        <v>1568</v>
      </c>
    </row>
    <row r="64" spans="2:5" x14ac:dyDescent="0.35">
      <c r="B64" s="43" t="s">
        <v>1536</v>
      </c>
      <c r="C64" s="44">
        <v>71346</v>
      </c>
      <c r="D64" s="43" t="s">
        <v>1537</v>
      </c>
      <c r="E64" s="43" t="s">
        <v>1538</v>
      </c>
    </row>
    <row r="65" spans="2:5" x14ac:dyDescent="0.35">
      <c r="B65" s="43" t="s">
        <v>1554</v>
      </c>
      <c r="C65" s="44">
        <v>71325</v>
      </c>
      <c r="D65" s="43" t="s">
        <v>1555</v>
      </c>
      <c r="E65" s="43" t="s">
        <v>1556</v>
      </c>
    </row>
    <row r="66" spans="2:5" x14ac:dyDescent="0.35">
      <c r="B66" s="43" t="s">
        <v>1584</v>
      </c>
      <c r="C66" s="44">
        <v>71260</v>
      </c>
      <c r="D66" s="43" t="s">
        <v>1585</v>
      </c>
      <c r="E66" s="43" t="s">
        <v>1586</v>
      </c>
    </row>
    <row r="67" spans="2:5" x14ac:dyDescent="0.35">
      <c r="B67" s="43" t="s">
        <v>614</v>
      </c>
      <c r="C67" s="44">
        <v>71157</v>
      </c>
      <c r="D67" s="43" t="s">
        <v>615</v>
      </c>
      <c r="E67" s="43" t="s">
        <v>616</v>
      </c>
    </row>
    <row r="68" spans="2:5" x14ac:dyDescent="0.35">
      <c r="B68" s="43" t="s">
        <v>1551</v>
      </c>
      <c r="C68" s="44">
        <v>70816</v>
      </c>
      <c r="D68" s="43" t="s">
        <v>1552</v>
      </c>
      <c r="E68" s="43" t="s">
        <v>1553</v>
      </c>
    </row>
    <row r="69" spans="2:5" x14ac:dyDescent="0.35">
      <c r="B69" s="43" t="s">
        <v>1605</v>
      </c>
      <c r="C69" s="44">
        <v>70328</v>
      </c>
      <c r="D69" s="43" t="s">
        <v>1606</v>
      </c>
      <c r="E69" s="43" t="s">
        <v>1607</v>
      </c>
    </row>
    <row r="70" spans="2:5" x14ac:dyDescent="0.35">
      <c r="B70" s="43" t="s">
        <v>1572</v>
      </c>
      <c r="C70" s="44">
        <v>70188</v>
      </c>
      <c r="D70" s="43" t="s">
        <v>1573</v>
      </c>
      <c r="E70" s="43" t="s">
        <v>1574</v>
      </c>
    </row>
    <row r="71" spans="2:5" x14ac:dyDescent="0.35">
      <c r="B71" s="43" t="s">
        <v>641</v>
      </c>
      <c r="C71" s="44">
        <v>69760</v>
      </c>
      <c r="D71" s="43" t="s">
        <v>1624</v>
      </c>
      <c r="E71" s="43" t="s">
        <v>1625</v>
      </c>
    </row>
    <row r="72" spans="2:5" x14ac:dyDescent="0.35">
      <c r="B72" s="43" t="s">
        <v>1581</v>
      </c>
      <c r="C72" s="44">
        <v>69737</v>
      </c>
      <c r="D72" s="43" t="s">
        <v>1582</v>
      </c>
      <c r="E72" s="43" t="s">
        <v>1583</v>
      </c>
    </row>
    <row r="73" spans="2:5" x14ac:dyDescent="0.35">
      <c r="B73" s="43" t="s">
        <v>1898</v>
      </c>
      <c r="C73" s="44">
        <v>69600</v>
      </c>
      <c r="D73" s="43" t="s">
        <v>1594</v>
      </c>
      <c r="E73" s="43" t="s">
        <v>1595</v>
      </c>
    </row>
    <row r="74" spans="2:5" x14ac:dyDescent="0.35">
      <c r="B74" s="43" t="s">
        <v>1599</v>
      </c>
      <c r="C74" s="44">
        <v>69410</v>
      </c>
      <c r="D74" s="43" t="s">
        <v>1600</v>
      </c>
      <c r="E74" s="43" t="s">
        <v>1601</v>
      </c>
    </row>
    <row r="75" spans="2:5" x14ac:dyDescent="0.35">
      <c r="B75" s="43" t="s">
        <v>718</v>
      </c>
      <c r="C75" s="44">
        <v>69193</v>
      </c>
      <c r="D75" s="43" t="s">
        <v>719</v>
      </c>
      <c r="E75" s="43" t="s">
        <v>720</v>
      </c>
    </row>
    <row r="76" spans="2:5" x14ac:dyDescent="0.35">
      <c r="B76" s="43" t="s">
        <v>1575</v>
      </c>
      <c r="C76" s="44">
        <v>69000</v>
      </c>
      <c r="D76" s="43" t="s">
        <v>1576</v>
      </c>
      <c r="E76" s="43" t="s">
        <v>1577</v>
      </c>
    </row>
    <row r="77" spans="2:5" x14ac:dyDescent="0.35">
      <c r="B77" s="43" t="s">
        <v>1792</v>
      </c>
      <c r="C77" s="44">
        <v>68800</v>
      </c>
      <c r="D77" s="43" t="s">
        <v>1793</v>
      </c>
      <c r="E77" s="43" t="s">
        <v>1794</v>
      </c>
    </row>
    <row r="78" spans="2:5" x14ac:dyDescent="0.35">
      <c r="B78" s="43" t="s">
        <v>1569</v>
      </c>
      <c r="C78" s="44">
        <v>68795</v>
      </c>
      <c r="D78" s="43" t="s">
        <v>1570</v>
      </c>
      <c r="E78" s="43" t="s">
        <v>1571</v>
      </c>
    </row>
    <row r="79" spans="2:5" x14ac:dyDescent="0.35">
      <c r="B79" s="43" t="s">
        <v>1578</v>
      </c>
      <c r="C79" s="44">
        <v>68750</v>
      </c>
      <c r="D79" s="43" t="s">
        <v>1579</v>
      </c>
      <c r="E79" s="43" t="s">
        <v>1580</v>
      </c>
    </row>
    <row r="80" spans="2:5" x14ac:dyDescent="0.35">
      <c r="B80" s="43" t="s">
        <v>1539</v>
      </c>
      <c r="C80" s="44">
        <v>68054</v>
      </c>
      <c r="D80" s="43" t="s">
        <v>1540</v>
      </c>
      <c r="E80" s="43" t="s">
        <v>1541</v>
      </c>
    </row>
    <row r="81" spans="2:5" x14ac:dyDescent="0.35">
      <c r="B81" s="43" t="s">
        <v>1820</v>
      </c>
      <c r="C81" s="44">
        <v>67910</v>
      </c>
      <c r="D81" s="43" t="s">
        <v>1821</v>
      </c>
      <c r="E81" s="43" t="s">
        <v>1822</v>
      </c>
    </row>
    <row r="82" spans="2:5" x14ac:dyDescent="0.35">
      <c r="B82" s="43" t="s">
        <v>1671</v>
      </c>
      <c r="C82" s="44">
        <v>67625</v>
      </c>
      <c r="D82" s="43" t="s">
        <v>1784</v>
      </c>
      <c r="E82" s="43" t="s">
        <v>1785</v>
      </c>
    </row>
    <row r="83" spans="2:5" x14ac:dyDescent="0.35">
      <c r="B83" s="43" t="s">
        <v>1590</v>
      </c>
      <c r="C83" s="44">
        <v>67591.25</v>
      </c>
      <c r="D83" s="43" t="s">
        <v>1591</v>
      </c>
      <c r="E83" s="43" t="s">
        <v>1592</v>
      </c>
    </row>
    <row r="84" spans="2:5" x14ac:dyDescent="0.35">
      <c r="B84" s="43" t="s">
        <v>1817</v>
      </c>
      <c r="C84" s="44">
        <v>66960</v>
      </c>
      <c r="D84" s="43" t="s">
        <v>1677</v>
      </c>
      <c r="E84" s="43" t="s">
        <v>1678</v>
      </c>
    </row>
    <row r="85" spans="2:5" x14ac:dyDescent="0.35">
      <c r="B85" s="43" t="s">
        <v>1644</v>
      </c>
      <c r="C85" s="44">
        <v>66913</v>
      </c>
      <c r="D85" s="43" t="s">
        <v>1645</v>
      </c>
      <c r="E85" s="43" t="s">
        <v>1646</v>
      </c>
    </row>
    <row r="86" spans="2:5" x14ac:dyDescent="0.35">
      <c r="B86" s="43" t="s">
        <v>1614</v>
      </c>
      <c r="C86" s="44">
        <v>66903</v>
      </c>
      <c r="D86" s="43" t="s">
        <v>1505</v>
      </c>
      <c r="E86" s="43" t="s">
        <v>1506</v>
      </c>
    </row>
    <row r="87" spans="2:5" x14ac:dyDescent="0.35">
      <c r="B87" s="43" t="s">
        <v>1632</v>
      </c>
      <c r="C87" s="44">
        <v>66788</v>
      </c>
      <c r="D87" s="43" t="s">
        <v>1633</v>
      </c>
      <c r="E87" s="43" t="s">
        <v>1634</v>
      </c>
    </row>
    <row r="88" spans="2:5" x14ac:dyDescent="0.35">
      <c r="B88" s="43" t="s">
        <v>613</v>
      </c>
      <c r="C88" s="44">
        <v>66563</v>
      </c>
      <c r="D88" s="43" t="s">
        <v>1618</v>
      </c>
      <c r="E88" s="43" t="s">
        <v>1619</v>
      </c>
    </row>
    <row r="89" spans="2:5" x14ac:dyDescent="0.35">
      <c r="B89" s="43" t="s">
        <v>1650</v>
      </c>
      <c r="C89" s="44">
        <v>66250</v>
      </c>
      <c r="D89" s="43" t="s">
        <v>1651</v>
      </c>
      <c r="E89" s="43" t="s">
        <v>1652</v>
      </c>
    </row>
    <row r="90" spans="2:5" x14ac:dyDescent="0.35">
      <c r="B90" s="43" t="s">
        <v>1602</v>
      </c>
      <c r="C90" s="44">
        <v>65182</v>
      </c>
      <c r="D90" s="43" t="s">
        <v>1603</v>
      </c>
      <c r="E90" s="43" t="s">
        <v>1604</v>
      </c>
    </row>
    <row r="91" spans="2:5" x14ac:dyDescent="0.35">
      <c r="B91" s="43" t="s">
        <v>1626</v>
      </c>
      <c r="C91" s="44">
        <v>65024</v>
      </c>
      <c r="D91" s="43" t="s">
        <v>1627</v>
      </c>
      <c r="E91" s="43" t="s">
        <v>1628</v>
      </c>
    </row>
    <row r="92" spans="2:5" x14ac:dyDescent="0.35">
      <c r="B92" s="43" t="s">
        <v>1593</v>
      </c>
      <c r="C92" s="44">
        <v>65000</v>
      </c>
      <c r="D92" s="43" t="s">
        <v>1672</v>
      </c>
      <c r="E92" s="43" t="s">
        <v>1673</v>
      </c>
    </row>
    <row r="93" spans="2:5" x14ac:dyDescent="0.35">
      <c r="B93" s="43" t="s">
        <v>1641</v>
      </c>
      <c r="C93" s="44">
        <v>64584</v>
      </c>
      <c r="D93" s="43" t="s">
        <v>1642</v>
      </c>
      <c r="E93" s="43" t="s">
        <v>1643</v>
      </c>
    </row>
    <row r="94" spans="2:5" x14ac:dyDescent="0.35">
      <c r="B94" s="43" t="s">
        <v>1611</v>
      </c>
      <c r="C94" s="44">
        <v>64286</v>
      </c>
      <c r="D94" s="43" t="s">
        <v>1612</v>
      </c>
      <c r="E94" s="43" t="s">
        <v>1613</v>
      </c>
    </row>
    <row r="95" spans="2:5" x14ac:dyDescent="0.35">
      <c r="B95" s="43" t="s">
        <v>1638</v>
      </c>
      <c r="C95" s="44">
        <v>64159.41</v>
      </c>
      <c r="D95" s="43" t="s">
        <v>1639</v>
      </c>
      <c r="E95" s="43" t="s">
        <v>1640</v>
      </c>
    </row>
    <row r="96" spans="2:5" x14ac:dyDescent="0.35">
      <c r="B96" s="43" t="s">
        <v>1647</v>
      </c>
      <c r="C96" s="44">
        <v>63850</v>
      </c>
      <c r="D96" s="43" t="s">
        <v>1648</v>
      </c>
      <c r="E96" s="43" t="s">
        <v>1649</v>
      </c>
    </row>
    <row r="97" spans="2:5" x14ac:dyDescent="0.35">
      <c r="B97" s="43" t="s">
        <v>1681</v>
      </c>
      <c r="C97" s="44">
        <v>63564</v>
      </c>
      <c r="D97" s="43" t="s">
        <v>1682</v>
      </c>
      <c r="E97" s="43" t="s">
        <v>1683</v>
      </c>
    </row>
    <row r="98" spans="2:5" x14ac:dyDescent="0.35">
      <c r="B98" s="43" t="s">
        <v>1882</v>
      </c>
      <c r="C98" s="44">
        <v>63481</v>
      </c>
      <c r="D98" s="43" t="s">
        <v>1883</v>
      </c>
      <c r="E98" s="43" t="s">
        <v>1884</v>
      </c>
    </row>
    <row r="99" spans="2:5" x14ac:dyDescent="0.35">
      <c r="B99" s="43" t="s">
        <v>1629</v>
      </c>
      <c r="C99" s="44">
        <v>63352</v>
      </c>
      <c r="D99" s="43" t="s">
        <v>1630</v>
      </c>
      <c r="E99" s="43" t="s">
        <v>1631</v>
      </c>
    </row>
    <row r="100" spans="2:5" x14ac:dyDescent="0.35">
      <c r="B100" s="43" t="s">
        <v>1620</v>
      </c>
      <c r="C100" s="44">
        <v>62700</v>
      </c>
      <c r="D100" s="43" t="s">
        <v>1829</v>
      </c>
      <c r="E100" s="43" t="s">
        <v>1830</v>
      </c>
    </row>
    <row r="101" spans="2:5" x14ac:dyDescent="0.35">
      <c r="B101" s="43" t="s">
        <v>1702</v>
      </c>
      <c r="C101" s="44">
        <v>62658.75</v>
      </c>
      <c r="D101" s="43" t="s">
        <v>1703</v>
      </c>
      <c r="E101" s="43" t="s">
        <v>1704</v>
      </c>
    </row>
    <row r="102" spans="2:5" x14ac:dyDescent="0.35">
      <c r="B102" s="43" t="s">
        <v>1826</v>
      </c>
      <c r="C102" s="44">
        <v>62500</v>
      </c>
      <c r="D102" s="43" t="s">
        <v>1827</v>
      </c>
      <c r="E102" s="43" t="s">
        <v>1828</v>
      </c>
    </row>
    <row r="103" spans="2:5" x14ac:dyDescent="0.35">
      <c r="B103" s="43" t="s">
        <v>1770</v>
      </c>
      <c r="C103" s="44">
        <v>62310</v>
      </c>
      <c r="D103" s="43" t="s">
        <v>1486</v>
      </c>
      <c r="E103" s="43" t="s">
        <v>1487</v>
      </c>
    </row>
    <row r="104" spans="2:5" x14ac:dyDescent="0.35">
      <c r="B104" s="43" t="s">
        <v>1684</v>
      </c>
      <c r="C104" s="44">
        <v>62254</v>
      </c>
      <c r="D104" s="43" t="s">
        <v>1685</v>
      </c>
      <c r="E104" s="43" t="s">
        <v>1686</v>
      </c>
    </row>
    <row r="105" spans="2:5" x14ac:dyDescent="0.35">
      <c r="B105" s="43" t="s">
        <v>1693</v>
      </c>
      <c r="C105" s="44">
        <v>62148</v>
      </c>
      <c r="D105" s="43" t="s">
        <v>1694</v>
      </c>
      <c r="E105" s="43" t="s">
        <v>1695</v>
      </c>
    </row>
    <row r="106" spans="2:5" x14ac:dyDescent="0.35">
      <c r="B106" s="43" t="s">
        <v>1726</v>
      </c>
      <c r="C106" s="44">
        <v>62000</v>
      </c>
      <c r="D106" s="43" t="s">
        <v>1433</v>
      </c>
      <c r="E106" s="43" t="s">
        <v>1434</v>
      </c>
    </row>
    <row r="107" spans="2:5" x14ac:dyDescent="0.35">
      <c r="B107" s="43" t="s">
        <v>1668</v>
      </c>
      <c r="C107" s="44">
        <v>61952</v>
      </c>
      <c r="D107" s="43" t="s">
        <v>1669</v>
      </c>
      <c r="E107" s="43" t="s">
        <v>1670</v>
      </c>
    </row>
    <row r="108" spans="2:5" x14ac:dyDescent="0.35">
      <c r="B108" s="43" t="s">
        <v>1761</v>
      </c>
      <c r="C108" s="44">
        <v>61787</v>
      </c>
      <c r="D108" s="43" t="s">
        <v>1762</v>
      </c>
      <c r="E108" s="43" t="s">
        <v>1763</v>
      </c>
    </row>
    <row r="109" spans="2:5" x14ac:dyDescent="0.35">
      <c r="B109" s="43" t="s">
        <v>1635</v>
      </c>
      <c r="C109" s="44">
        <v>61686</v>
      </c>
      <c r="D109" s="43" t="s">
        <v>1636</v>
      </c>
      <c r="E109" s="43" t="s">
        <v>1637</v>
      </c>
    </row>
    <row r="110" spans="2:5" x14ac:dyDescent="0.35">
      <c r="B110" s="43" t="s">
        <v>1690</v>
      </c>
      <c r="C110" s="44">
        <v>61620.24</v>
      </c>
      <c r="D110" s="43" t="s">
        <v>1691</v>
      </c>
      <c r="E110" s="43" t="s">
        <v>1692</v>
      </c>
    </row>
    <row r="111" spans="2:5" x14ac:dyDescent="0.35">
      <c r="B111" s="43" t="s">
        <v>1687</v>
      </c>
      <c r="C111" s="44">
        <v>61500</v>
      </c>
      <c r="D111" s="43" t="s">
        <v>1688</v>
      </c>
      <c r="E111" s="43" t="s">
        <v>1689</v>
      </c>
    </row>
    <row r="112" spans="2:5" x14ac:dyDescent="0.35">
      <c r="B112" s="43" t="s">
        <v>1783</v>
      </c>
      <c r="C112" s="44">
        <v>61323</v>
      </c>
      <c r="D112" s="43" t="s">
        <v>1679</v>
      </c>
      <c r="E112" s="43" t="s">
        <v>1680</v>
      </c>
    </row>
    <row r="113" spans="2:5" x14ac:dyDescent="0.35">
      <c r="B113" s="43" t="s">
        <v>1659</v>
      </c>
      <c r="C113" s="44">
        <v>61100</v>
      </c>
      <c r="D113" s="43" t="s">
        <v>1660</v>
      </c>
      <c r="E113" s="43" t="s">
        <v>1661</v>
      </c>
    </row>
    <row r="114" spans="2:5" x14ac:dyDescent="0.35">
      <c r="B114" s="43" t="s">
        <v>1662</v>
      </c>
      <c r="C114" s="44">
        <v>60625</v>
      </c>
      <c r="D114" s="43" t="s">
        <v>1663</v>
      </c>
      <c r="E114" s="43" t="s">
        <v>1664</v>
      </c>
    </row>
    <row r="115" spans="2:5" x14ac:dyDescent="0.35">
      <c r="B115" s="43" t="s">
        <v>1705</v>
      </c>
      <c r="C115" s="44">
        <v>60313</v>
      </c>
      <c r="D115" s="43" t="s">
        <v>1706</v>
      </c>
      <c r="E115" s="43" t="s">
        <v>1707</v>
      </c>
    </row>
    <row r="116" spans="2:5" x14ac:dyDescent="0.35">
      <c r="B116" s="43" t="s">
        <v>2024</v>
      </c>
      <c r="C116" s="44">
        <v>60250</v>
      </c>
      <c r="D116" s="43" t="s">
        <v>1546</v>
      </c>
      <c r="E116" s="43" t="s">
        <v>1547</v>
      </c>
    </row>
    <row r="117" spans="2:5" x14ac:dyDescent="0.35">
      <c r="B117" s="43" t="s">
        <v>1804</v>
      </c>
      <c r="C117" s="44">
        <v>60146</v>
      </c>
      <c r="D117" s="43" t="s">
        <v>1442</v>
      </c>
      <c r="E117" s="43" t="s">
        <v>1443</v>
      </c>
    </row>
    <row r="118" spans="2:5" x14ac:dyDescent="0.35">
      <c r="B118" s="43" t="s">
        <v>1856</v>
      </c>
      <c r="C118" s="44">
        <v>60000</v>
      </c>
      <c r="D118" s="43" t="s">
        <v>1857</v>
      </c>
      <c r="E118" s="43" t="s">
        <v>1858</v>
      </c>
    </row>
    <row r="119" spans="2:5" x14ac:dyDescent="0.35">
      <c r="B119" s="43" t="s">
        <v>1696</v>
      </c>
      <c r="C119" s="44">
        <v>60000</v>
      </c>
      <c r="D119" s="43" t="s">
        <v>1697</v>
      </c>
      <c r="E119" s="43" t="s">
        <v>1698</v>
      </c>
    </row>
    <row r="120" spans="2:5" x14ac:dyDescent="0.35">
      <c r="B120" s="43" t="s">
        <v>1674</v>
      </c>
      <c r="C120" s="44">
        <v>59970</v>
      </c>
      <c r="D120" s="43" t="s">
        <v>1675</v>
      </c>
      <c r="E120" s="43" t="s">
        <v>1676</v>
      </c>
    </row>
    <row r="121" spans="2:5" x14ac:dyDescent="0.35">
      <c r="B121" s="43" t="s">
        <v>1723</v>
      </c>
      <c r="C121" s="44">
        <v>59700</v>
      </c>
      <c r="D121" s="43" t="s">
        <v>1724</v>
      </c>
      <c r="E121" s="43" t="s">
        <v>1725</v>
      </c>
    </row>
    <row r="122" spans="2:5" x14ac:dyDescent="0.35">
      <c r="B122" s="43" t="s">
        <v>1665</v>
      </c>
      <c r="C122" s="44">
        <v>59685</v>
      </c>
      <c r="D122" s="43" t="s">
        <v>1666</v>
      </c>
      <c r="E122" s="43" t="s">
        <v>1667</v>
      </c>
    </row>
    <row r="123" spans="2:5" x14ac:dyDescent="0.35">
      <c r="B123" s="43" t="s">
        <v>1814</v>
      </c>
      <c r="C123" s="44">
        <v>59166.25</v>
      </c>
      <c r="D123" s="43" t="s">
        <v>1815</v>
      </c>
      <c r="E123" s="43" t="s">
        <v>1816</v>
      </c>
    </row>
    <row r="124" spans="2:5" x14ac:dyDescent="0.35">
      <c r="B124" s="43" t="s">
        <v>1708</v>
      </c>
      <c r="C124" s="44">
        <v>59136</v>
      </c>
      <c r="D124" s="43" t="s">
        <v>1709</v>
      </c>
      <c r="E124" s="43" t="s">
        <v>1710</v>
      </c>
    </row>
    <row r="125" spans="2:5" x14ac:dyDescent="0.35">
      <c r="B125" s="43" t="s">
        <v>1752</v>
      </c>
      <c r="C125" s="44">
        <v>59125</v>
      </c>
      <c r="D125" s="43" t="s">
        <v>1753</v>
      </c>
      <c r="E125" s="43" t="s">
        <v>1754</v>
      </c>
    </row>
    <row r="126" spans="2:5" x14ac:dyDescent="0.35">
      <c r="B126" s="43" t="s">
        <v>1735</v>
      </c>
      <c r="C126" s="44">
        <v>58982</v>
      </c>
      <c r="D126" s="43" t="s">
        <v>1736</v>
      </c>
      <c r="E126" s="43" t="s">
        <v>1737</v>
      </c>
    </row>
    <row r="127" spans="2:5" x14ac:dyDescent="0.35">
      <c r="B127" s="43" t="s">
        <v>1714</v>
      </c>
      <c r="C127" s="44">
        <v>58951</v>
      </c>
      <c r="D127" s="43" t="s">
        <v>1715</v>
      </c>
      <c r="E127" s="43" t="s">
        <v>1716</v>
      </c>
    </row>
    <row r="128" spans="2:5" x14ac:dyDescent="0.35">
      <c r="B128" s="43" t="s">
        <v>1758</v>
      </c>
      <c r="C128" s="44">
        <v>58933</v>
      </c>
      <c r="D128" s="43" t="s">
        <v>1759</v>
      </c>
      <c r="E128" s="43" t="s">
        <v>1760</v>
      </c>
    </row>
    <row r="129" spans="2:5" x14ac:dyDescent="0.35">
      <c r="B129" s="43" t="s">
        <v>1764</v>
      </c>
      <c r="C129" s="44">
        <v>58823</v>
      </c>
      <c r="D129" s="43" t="s">
        <v>1765</v>
      </c>
      <c r="E129" s="43" t="s">
        <v>1766</v>
      </c>
    </row>
    <row r="130" spans="2:5" x14ac:dyDescent="0.35">
      <c r="B130" s="43" t="s">
        <v>602</v>
      </c>
      <c r="C130" s="44">
        <v>58750</v>
      </c>
      <c r="D130" s="43" t="s">
        <v>603</v>
      </c>
      <c r="E130" s="43" t="s">
        <v>604</v>
      </c>
    </row>
    <row r="131" spans="2:5" x14ac:dyDescent="0.35">
      <c r="B131" s="43" t="s">
        <v>1894</v>
      </c>
      <c r="C131" s="44">
        <v>58633</v>
      </c>
      <c r="D131" s="43" t="s">
        <v>1730</v>
      </c>
      <c r="E131" s="43" t="s">
        <v>1731</v>
      </c>
    </row>
    <row r="132" spans="2:5" x14ac:dyDescent="0.35">
      <c r="B132" s="43" t="s">
        <v>1749</v>
      </c>
      <c r="C132" s="44">
        <v>58476.25</v>
      </c>
      <c r="D132" s="43" t="s">
        <v>1750</v>
      </c>
      <c r="E132" s="43" t="s">
        <v>1751</v>
      </c>
    </row>
    <row r="133" spans="2:5" x14ac:dyDescent="0.35">
      <c r="B133" s="43" t="s">
        <v>1755</v>
      </c>
      <c r="C133" s="44">
        <v>58193</v>
      </c>
      <c r="D133" s="43" t="s">
        <v>1756</v>
      </c>
      <c r="E133" s="43" t="s">
        <v>1757</v>
      </c>
    </row>
    <row r="134" spans="2:5" x14ac:dyDescent="0.35">
      <c r="B134" s="43" t="s">
        <v>1732</v>
      </c>
      <c r="C134" s="44">
        <v>58157</v>
      </c>
      <c r="D134" s="43" t="s">
        <v>1733</v>
      </c>
      <c r="E134" s="43" t="s">
        <v>1734</v>
      </c>
    </row>
    <row r="135" spans="2:5" x14ac:dyDescent="0.35">
      <c r="B135" s="43" t="s">
        <v>1919</v>
      </c>
      <c r="C135" s="44">
        <v>58125</v>
      </c>
      <c r="D135" s="43" t="s">
        <v>1920</v>
      </c>
      <c r="E135" s="43" t="s">
        <v>1921</v>
      </c>
    </row>
    <row r="136" spans="2:5" x14ac:dyDescent="0.35">
      <c r="B136" s="43" t="s">
        <v>1738</v>
      </c>
      <c r="C136" s="44">
        <v>58125</v>
      </c>
      <c r="D136" s="43" t="s">
        <v>1739</v>
      </c>
      <c r="E136" s="43" t="s">
        <v>1740</v>
      </c>
    </row>
    <row r="137" spans="2:5" x14ac:dyDescent="0.35">
      <c r="B137" s="43" t="s">
        <v>1771</v>
      </c>
      <c r="C137" s="44">
        <v>58113</v>
      </c>
      <c r="D137" s="43" t="s">
        <v>1772</v>
      </c>
      <c r="E137" s="43" t="s">
        <v>1773</v>
      </c>
    </row>
    <row r="138" spans="2:5" x14ac:dyDescent="0.35">
      <c r="B138" s="43" t="s">
        <v>658</v>
      </c>
      <c r="C138" s="44">
        <v>58007</v>
      </c>
      <c r="D138" s="43" t="s">
        <v>1839</v>
      </c>
      <c r="E138" s="43" t="s">
        <v>1840</v>
      </c>
    </row>
    <row r="139" spans="2:5" x14ac:dyDescent="0.35">
      <c r="B139" s="43" t="s">
        <v>1843</v>
      </c>
      <c r="C139" s="44">
        <v>57889</v>
      </c>
      <c r="D139" s="43" t="s">
        <v>1844</v>
      </c>
      <c r="E139" s="43" t="s">
        <v>1845</v>
      </c>
    </row>
    <row r="140" spans="2:5" x14ac:dyDescent="0.35">
      <c r="B140" s="43" t="s">
        <v>1774</v>
      </c>
      <c r="C140" s="44">
        <v>57868</v>
      </c>
      <c r="D140" s="43" t="s">
        <v>1775</v>
      </c>
      <c r="E140" s="43" t="s">
        <v>1776</v>
      </c>
    </row>
    <row r="141" spans="2:5" x14ac:dyDescent="0.35">
      <c r="B141" s="43" t="s">
        <v>1767</v>
      </c>
      <c r="C141" s="44">
        <v>57671</v>
      </c>
      <c r="D141" s="43" t="s">
        <v>1768</v>
      </c>
      <c r="E141" s="43" t="s">
        <v>1769</v>
      </c>
    </row>
    <row r="142" spans="2:5" x14ac:dyDescent="0.35">
      <c r="B142" s="43" t="s">
        <v>712</v>
      </c>
      <c r="C142" s="44">
        <v>57569</v>
      </c>
      <c r="D142" s="43" t="s">
        <v>713</v>
      </c>
      <c r="E142" s="43" t="s">
        <v>714</v>
      </c>
    </row>
    <row r="143" spans="2:5" x14ac:dyDescent="0.35">
      <c r="B143" s="43" t="s">
        <v>1948</v>
      </c>
      <c r="C143" s="44">
        <v>57515.88</v>
      </c>
      <c r="D143" s="43" t="s">
        <v>1949</v>
      </c>
      <c r="E143" s="43" t="s">
        <v>1950</v>
      </c>
    </row>
    <row r="144" spans="2:5" x14ac:dyDescent="0.35">
      <c r="B144" s="43" t="s">
        <v>1727</v>
      </c>
      <c r="C144" s="44">
        <v>57498</v>
      </c>
      <c r="D144" s="43" t="s">
        <v>1728</v>
      </c>
      <c r="E144" s="43" t="s">
        <v>1729</v>
      </c>
    </row>
    <row r="145" spans="2:5" x14ac:dyDescent="0.35">
      <c r="B145" s="43" t="s">
        <v>1699</v>
      </c>
      <c r="C145" s="44">
        <v>57480</v>
      </c>
      <c r="D145" s="43" t="s">
        <v>1700</v>
      </c>
      <c r="E145" s="43" t="s">
        <v>1701</v>
      </c>
    </row>
    <row r="146" spans="2:5" x14ac:dyDescent="0.35">
      <c r="B146" s="43" t="s">
        <v>1780</v>
      </c>
      <c r="C146" s="44">
        <v>57395.22</v>
      </c>
      <c r="D146" s="43" t="s">
        <v>1781</v>
      </c>
      <c r="E146" s="43" t="s">
        <v>1782</v>
      </c>
    </row>
    <row r="147" spans="2:5" x14ac:dyDescent="0.35">
      <c r="B147" s="43" t="s">
        <v>629</v>
      </c>
      <c r="C147" s="44">
        <v>57380</v>
      </c>
      <c r="D147" s="43" t="s">
        <v>630</v>
      </c>
      <c r="E147" s="43" t="s">
        <v>631</v>
      </c>
    </row>
    <row r="148" spans="2:5" x14ac:dyDescent="0.35">
      <c r="B148" s="43" t="s">
        <v>1743</v>
      </c>
      <c r="C148" s="44">
        <v>57022</v>
      </c>
      <c r="D148" s="43" t="s">
        <v>1744</v>
      </c>
      <c r="E148" s="43" t="s">
        <v>1745</v>
      </c>
    </row>
    <row r="149" spans="2:5" x14ac:dyDescent="0.35">
      <c r="B149" s="43" t="s">
        <v>2390</v>
      </c>
      <c r="C149" s="44">
        <v>56692</v>
      </c>
      <c r="D149" s="43" t="s">
        <v>1799</v>
      </c>
      <c r="E149" s="43" t="s">
        <v>1800</v>
      </c>
    </row>
    <row r="150" spans="2:5" x14ac:dyDescent="0.35">
      <c r="B150" s="43" t="s">
        <v>1855</v>
      </c>
      <c r="C150" s="44">
        <v>56650</v>
      </c>
      <c r="D150" s="43" t="s">
        <v>1424</v>
      </c>
      <c r="E150" s="43" t="s">
        <v>1425</v>
      </c>
    </row>
    <row r="151" spans="2:5" x14ac:dyDescent="0.35">
      <c r="B151" s="43" t="s">
        <v>1951</v>
      </c>
      <c r="C151" s="44">
        <v>56566</v>
      </c>
      <c r="D151" s="43" t="s">
        <v>1952</v>
      </c>
      <c r="E151" s="43" t="s">
        <v>1953</v>
      </c>
    </row>
    <row r="152" spans="2:5" x14ac:dyDescent="0.35">
      <c r="B152" s="43" t="s">
        <v>1805</v>
      </c>
      <c r="C152" s="44">
        <v>56297</v>
      </c>
      <c r="D152" s="43" t="s">
        <v>1806</v>
      </c>
      <c r="E152" s="43" t="s">
        <v>1807</v>
      </c>
    </row>
    <row r="153" spans="2:5" x14ac:dyDescent="0.35">
      <c r="B153" s="43" t="s">
        <v>1786</v>
      </c>
      <c r="C153" s="44">
        <v>56283</v>
      </c>
      <c r="D153" s="43" t="s">
        <v>1787</v>
      </c>
      <c r="E153" s="43" t="s">
        <v>1788</v>
      </c>
    </row>
    <row r="154" spans="2:5" x14ac:dyDescent="0.35">
      <c r="B154" s="43" t="s">
        <v>1902</v>
      </c>
      <c r="C154" s="44">
        <v>56271</v>
      </c>
      <c r="D154" s="43" t="s">
        <v>1903</v>
      </c>
      <c r="E154" s="43" t="s">
        <v>1904</v>
      </c>
    </row>
    <row r="155" spans="2:5" x14ac:dyDescent="0.35">
      <c r="B155" s="43" t="s">
        <v>1876</v>
      </c>
      <c r="C155" s="44">
        <v>56250</v>
      </c>
      <c r="D155" s="43" t="s">
        <v>1877</v>
      </c>
      <c r="E155" s="43" t="s">
        <v>1878</v>
      </c>
    </row>
    <row r="156" spans="2:5" x14ac:dyDescent="0.35">
      <c r="B156" s="43" t="s">
        <v>1927</v>
      </c>
      <c r="C156" s="44">
        <v>56233.8</v>
      </c>
      <c r="D156" s="43" t="s">
        <v>1928</v>
      </c>
      <c r="E156" s="43" t="s">
        <v>1929</v>
      </c>
    </row>
    <row r="157" spans="2:5" x14ac:dyDescent="0.35">
      <c r="B157" s="43" t="s">
        <v>1717</v>
      </c>
      <c r="C157" s="44">
        <v>56204</v>
      </c>
      <c r="D157" s="43" t="s">
        <v>1718</v>
      </c>
      <c r="E157" s="43" t="s">
        <v>1719</v>
      </c>
    </row>
    <row r="158" spans="2:5" x14ac:dyDescent="0.35">
      <c r="B158" s="43" t="s">
        <v>1823</v>
      </c>
      <c r="C158" s="44">
        <v>56000</v>
      </c>
      <c r="D158" s="43" t="s">
        <v>1824</v>
      </c>
      <c r="E158" s="43" t="s">
        <v>1825</v>
      </c>
    </row>
    <row r="159" spans="2:5" x14ac:dyDescent="0.35">
      <c r="B159" s="43" t="s">
        <v>1711</v>
      </c>
      <c r="C159" s="44">
        <v>55625</v>
      </c>
      <c r="D159" s="43" t="s">
        <v>1712</v>
      </c>
      <c r="E159" s="43" t="s">
        <v>1713</v>
      </c>
    </row>
    <row r="160" spans="2:5" x14ac:dyDescent="0.35">
      <c r="B160" s="43" t="s">
        <v>1789</v>
      </c>
      <c r="C160" s="44">
        <v>55546</v>
      </c>
      <c r="D160" s="43" t="s">
        <v>1790</v>
      </c>
      <c r="E160" s="43" t="s">
        <v>1791</v>
      </c>
    </row>
    <row r="161" spans="2:5" x14ac:dyDescent="0.35">
      <c r="B161" s="43" t="s">
        <v>1879</v>
      </c>
      <c r="C161" s="44">
        <v>55215</v>
      </c>
      <c r="D161" s="43" t="s">
        <v>1880</v>
      </c>
      <c r="E161" s="43" t="s">
        <v>1881</v>
      </c>
    </row>
    <row r="162" spans="2:5" x14ac:dyDescent="0.35">
      <c r="B162" s="43" t="s">
        <v>1811</v>
      </c>
      <c r="C162" s="44">
        <v>55101</v>
      </c>
      <c r="D162" s="43" t="s">
        <v>1812</v>
      </c>
      <c r="E162" s="43" t="s">
        <v>1813</v>
      </c>
    </row>
    <row r="163" spans="2:5" x14ac:dyDescent="0.35">
      <c r="B163" s="43" t="s">
        <v>1808</v>
      </c>
      <c r="C163" s="44">
        <v>54965</v>
      </c>
      <c r="D163" s="43" t="s">
        <v>1809</v>
      </c>
      <c r="E163" s="43" t="s">
        <v>1810</v>
      </c>
    </row>
    <row r="164" spans="2:5" x14ac:dyDescent="0.35">
      <c r="B164" s="43" t="s">
        <v>1868</v>
      </c>
      <c r="C164" s="44">
        <v>54646</v>
      </c>
      <c r="D164" s="43" t="s">
        <v>1869</v>
      </c>
      <c r="E164" s="43" t="s">
        <v>1870</v>
      </c>
    </row>
    <row r="165" spans="2:5" x14ac:dyDescent="0.35">
      <c r="B165" s="43" t="s">
        <v>1777</v>
      </c>
      <c r="C165" s="44">
        <v>54446</v>
      </c>
      <c r="D165" s="43" t="s">
        <v>1778</v>
      </c>
      <c r="E165" s="43" t="s">
        <v>1779</v>
      </c>
    </row>
    <row r="166" spans="2:5" x14ac:dyDescent="0.35">
      <c r="B166" s="43" t="s">
        <v>1801</v>
      </c>
      <c r="C166" s="44">
        <v>54356</v>
      </c>
      <c r="D166" s="43" t="s">
        <v>1802</v>
      </c>
      <c r="E166" s="43" t="s">
        <v>1803</v>
      </c>
    </row>
    <row r="167" spans="2:5" x14ac:dyDescent="0.35">
      <c r="B167" s="43" t="s">
        <v>1746</v>
      </c>
      <c r="C167" s="44">
        <v>54206</v>
      </c>
      <c r="D167" s="43" t="s">
        <v>1747</v>
      </c>
      <c r="E167" s="43" t="s">
        <v>1748</v>
      </c>
    </row>
    <row r="168" spans="2:5" x14ac:dyDescent="0.35">
      <c r="B168" s="43" t="s">
        <v>639</v>
      </c>
      <c r="C168" s="44">
        <v>54125</v>
      </c>
      <c r="D168" s="43" t="s">
        <v>1621</v>
      </c>
      <c r="E168" s="43" t="s">
        <v>1622</v>
      </c>
    </row>
    <row r="169" spans="2:5" x14ac:dyDescent="0.35">
      <c r="B169" s="43" t="s">
        <v>2027</v>
      </c>
      <c r="C169" s="44">
        <v>53959</v>
      </c>
      <c r="D169" s="43" t="s">
        <v>2028</v>
      </c>
      <c r="E169" s="43" t="s">
        <v>2029</v>
      </c>
    </row>
    <row r="170" spans="2:5" x14ac:dyDescent="0.35">
      <c r="B170" s="43" t="s">
        <v>1954</v>
      </c>
      <c r="C170" s="44">
        <v>53510</v>
      </c>
      <c r="D170" s="43" t="s">
        <v>1472</v>
      </c>
      <c r="E170" s="43" t="s">
        <v>1473</v>
      </c>
    </row>
    <row r="171" spans="2:5" x14ac:dyDescent="0.35">
      <c r="B171" s="43" t="s">
        <v>392</v>
      </c>
      <c r="C171" s="44">
        <v>53479</v>
      </c>
      <c r="D171" s="43" t="s">
        <v>393</v>
      </c>
      <c r="E171" s="43" t="s">
        <v>394</v>
      </c>
    </row>
    <row r="172" spans="2:5" x14ac:dyDescent="0.35">
      <c r="B172" s="43" t="s">
        <v>1831</v>
      </c>
      <c r="C172" s="44">
        <v>53460</v>
      </c>
      <c r="D172" s="43" t="s">
        <v>1832</v>
      </c>
      <c r="E172" s="43" t="s">
        <v>1833</v>
      </c>
    </row>
    <row r="173" spans="2:5" x14ac:dyDescent="0.35">
      <c r="B173" s="43" t="s">
        <v>2043</v>
      </c>
      <c r="C173" s="44">
        <v>53129</v>
      </c>
      <c r="D173" s="43" t="s">
        <v>1741</v>
      </c>
      <c r="E173" s="43" t="s">
        <v>1742</v>
      </c>
    </row>
    <row r="174" spans="2:5" x14ac:dyDescent="0.35">
      <c r="B174" s="43" t="s">
        <v>1885</v>
      </c>
      <c r="C174" s="44">
        <v>53075</v>
      </c>
      <c r="D174" s="43" t="s">
        <v>1886</v>
      </c>
      <c r="E174" s="43" t="s">
        <v>1887</v>
      </c>
    </row>
    <row r="175" spans="2:5" x14ac:dyDescent="0.35">
      <c r="B175" s="43" t="s">
        <v>1849</v>
      </c>
      <c r="C175" s="44">
        <v>53000</v>
      </c>
      <c r="D175" s="43" t="s">
        <v>1850</v>
      </c>
      <c r="E175" s="43" t="s">
        <v>1851</v>
      </c>
    </row>
    <row r="176" spans="2:5" x14ac:dyDescent="0.35">
      <c r="B176" s="43" t="s">
        <v>1964</v>
      </c>
      <c r="C176" s="44">
        <v>53000</v>
      </c>
      <c r="D176" s="43" t="s">
        <v>1965</v>
      </c>
      <c r="E176" s="43" t="s">
        <v>1966</v>
      </c>
    </row>
    <row r="177" spans="2:5" x14ac:dyDescent="0.35">
      <c r="B177" s="43" t="s">
        <v>1913</v>
      </c>
      <c r="C177" s="44">
        <v>52926</v>
      </c>
      <c r="D177" s="43" t="s">
        <v>1914</v>
      </c>
      <c r="E177" s="43" t="s">
        <v>1915</v>
      </c>
    </row>
    <row r="178" spans="2:5" x14ac:dyDescent="0.35">
      <c r="B178" s="43" t="s">
        <v>2073</v>
      </c>
      <c r="C178" s="44">
        <v>52900</v>
      </c>
      <c r="D178" s="43" t="s">
        <v>1874</v>
      </c>
      <c r="E178" s="43" t="s">
        <v>1875</v>
      </c>
    </row>
    <row r="179" spans="2:5" x14ac:dyDescent="0.35">
      <c r="B179" s="43" t="s">
        <v>1841</v>
      </c>
      <c r="C179" s="44">
        <v>52762</v>
      </c>
      <c r="D179" s="43" t="s">
        <v>654</v>
      </c>
      <c r="E179" s="43" t="s">
        <v>1842</v>
      </c>
    </row>
    <row r="180" spans="2:5" x14ac:dyDescent="0.35">
      <c r="B180" s="43" t="s">
        <v>1899</v>
      </c>
      <c r="C180" s="44">
        <v>52707</v>
      </c>
      <c r="D180" s="43" t="s">
        <v>1900</v>
      </c>
      <c r="E180" s="43" t="s">
        <v>1901</v>
      </c>
    </row>
    <row r="181" spans="2:5" x14ac:dyDescent="0.35">
      <c r="B181" s="43" t="s">
        <v>1846</v>
      </c>
      <c r="C181" s="44">
        <v>51685</v>
      </c>
      <c r="D181" s="43" t="s">
        <v>1847</v>
      </c>
      <c r="E181" s="43" t="s">
        <v>1848</v>
      </c>
    </row>
    <row r="182" spans="2:5" x14ac:dyDescent="0.35">
      <c r="B182" s="43" t="s">
        <v>2115</v>
      </c>
      <c r="C182" s="44">
        <v>51641</v>
      </c>
      <c r="D182" s="43" t="s">
        <v>1546</v>
      </c>
      <c r="E182" s="43" t="s">
        <v>1547</v>
      </c>
    </row>
    <row r="183" spans="2:5" x14ac:dyDescent="0.35">
      <c r="B183" s="43" t="s">
        <v>414</v>
      </c>
      <c r="C183" s="44">
        <v>51560</v>
      </c>
      <c r="D183" s="43" t="s">
        <v>415</v>
      </c>
      <c r="E183" s="43" t="s">
        <v>416</v>
      </c>
    </row>
    <row r="184" spans="2:5" x14ac:dyDescent="0.35">
      <c r="B184" s="43" t="s">
        <v>1939</v>
      </c>
      <c r="C184" s="44">
        <v>51478</v>
      </c>
      <c r="D184" s="43" t="s">
        <v>1940</v>
      </c>
      <c r="E184" s="43" t="s">
        <v>1941</v>
      </c>
    </row>
    <row r="185" spans="2:5" x14ac:dyDescent="0.35">
      <c r="B185" s="43" t="s">
        <v>1864</v>
      </c>
      <c r="C185" s="44">
        <v>51370</v>
      </c>
      <c r="D185" s="43" t="s">
        <v>1866</v>
      </c>
      <c r="E185" s="43" t="s">
        <v>1867</v>
      </c>
    </row>
    <row r="186" spans="2:5" x14ac:dyDescent="0.35">
      <c r="B186" s="43" t="s">
        <v>1958</v>
      </c>
      <c r="C186" s="44">
        <v>51272</v>
      </c>
      <c r="D186" s="43" t="s">
        <v>1959</v>
      </c>
      <c r="E186" s="43" t="s">
        <v>1960</v>
      </c>
    </row>
    <row r="187" spans="2:5" x14ac:dyDescent="0.35">
      <c r="B187" s="43" t="s">
        <v>1908</v>
      </c>
      <c r="C187" s="44">
        <v>51000</v>
      </c>
      <c r="D187" s="43" t="s">
        <v>1909</v>
      </c>
      <c r="E187" s="43" t="s">
        <v>1910</v>
      </c>
    </row>
    <row r="188" spans="2:5" x14ac:dyDescent="0.35">
      <c r="B188" s="43" t="s">
        <v>1961</v>
      </c>
      <c r="C188" s="44">
        <v>50893</v>
      </c>
      <c r="D188" s="43" t="s">
        <v>1962</v>
      </c>
      <c r="E188" s="43" t="s">
        <v>1963</v>
      </c>
    </row>
    <row r="189" spans="2:5" x14ac:dyDescent="0.35">
      <c r="B189" s="43" t="s">
        <v>1976</v>
      </c>
      <c r="C189" s="44">
        <v>50859</v>
      </c>
      <c r="D189" s="43" t="s">
        <v>1977</v>
      </c>
      <c r="E189" s="43" t="s">
        <v>1978</v>
      </c>
    </row>
    <row r="190" spans="2:5" x14ac:dyDescent="0.35">
      <c r="B190" s="43" t="s">
        <v>1905</v>
      </c>
      <c r="C190" s="44">
        <v>50814</v>
      </c>
      <c r="D190" s="43" t="s">
        <v>1906</v>
      </c>
      <c r="E190" s="43" t="s">
        <v>1907</v>
      </c>
    </row>
    <row r="191" spans="2:5" x14ac:dyDescent="0.35">
      <c r="B191" s="43" t="s">
        <v>1945</v>
      </c>
      <c r="C191" s="44">
        <v>50780</v>
      </c>
      <c r="D191" s="43" t="s">
        <v>1946</v>
      </c>
      <c r="E191" s="43" t="s">
        <v>1947</v>
      </c>
    </row>
    <row r="192" spans="2:5" x14ac:dyDescent="0.35">
      <c r="B192" s="43" t="s">
        <v>1795</v>
      </c>
      <c r="C192" s="44">
        <v>50592</v>
      </c>
      <c r="D192" s="43" t="s">
        <v>1796</v>
      </c>
      <c r="E192" s="43" t="s">
        <v>1797</v>
      </c>
    </row>
    <row r="193" spans="2:5" x14ac:dyDescent="0.35">
      <c r="B193" s="43" t="s">
        <v>1923</v>
      </c>
      <c r="C193" s="44">
        <v>50540</v>
      </c>
      <c r="D193" s="43" t="s">
        <v>1453</v>
      </c>
      <c r="E193" s="43" t="s">
        <v>1454</v>
      </c>
    </row>
    <row r="194" spans="2:5" x14ac:dyDescent="0.35">
      <c r="B194" s="43" t="s">
        <v>2042</v>
      </c>
      <c r="C194" s="44">
        <v>50531</v>
      </c>
      <c r="D194" s="43" t="s">
        <v>1478</v>
      </c>
      <c r="E194" s="43" t="s">
        <v>1479</v>
      </c>
    </row>
    <row r="195" spans="2:5" x14ac:dyDescent="0.35">
      <c r="B195" s="43" t="s">
        <v>1656</v>
      </c>
      <c r="C195" s="44">
        <v>50484</v>
      </c>
      <c r="D195" s="43" t="s">
        <v>1657</v>
      </c>
      <c r="E195" s="43" t="s">
        <v>1658</v>
      </c>
    </row>
    <row r="196" spans="2:5" x14ac:dyDescent="0.35">
      <c r="B196" s="43" t="s">
        <v>1970</v>
      </c>
      <c r="C196" s="44">
        <v>50437.5</v>
      </c>
      <c r="D196" s="43" t="s">
        <v>1971</v>
      </c>
      <c r="E196" s="43" t="s">
        <v>1972</v>
      </c>
    </row>
    <row r="197" spans="2:5" x14ac:dyDescent="0.35">
      <c r="B197" s="43" t="s">
        <v>1852</v>
      </c>
      <c r="C197" s="44">
        <v>50225</v>
      </c>
      <c r="D197" s="43" t="s">
        <v>1853</v>
      </c>
      <c r="E197" s="43" t="s">
        <v>1854</v>
      </c>
    </row>
    <row r="198" spans="2:5" x14ac:dyDescent="0.35">
      <c r="B198" s="43" t="s">
        <v>2109</v>
      </c>
      <c r="C198" s="44">
        <v>50080</v>
      </c>
      <c r="D198" s="43" t="s">
        <v>2110</v>
      </c>
      <c r="E198" s="43" t="s">
        <v>2111</v>
      </c>
    </row>
    <row r="199" spans="2:5" x14ac:dyDescent="0.35">
      <c r="B199" s="43" t="s">
        <v>1955</v>
      </c>
      <c r="C199" s="44">
        <v>50039</v>
      </c>
      <c r="D199" s="43" t="s">
        <v>1956</v>
      </c>
      <c r="E199" s="43" t="s">
        <v>1957</v>
      </c>
    </row>
    <row r="200" spans="2:5" x14ac:dyDescent="0.35">
      <c r="B200" s="43" t="s">
        <v>1936</v>
      </c>
      <c r="C200" s="44">
        <v>49949</v>
      </c>
      <c r="D200" s="43" t="s">
        <v>1937</v>
      </c>
      <c r="E200" s="43" t="s">
        <v>1938</v>
      </c>
    </row>
    <row r="201" spans="2:5" x14ac:dyDescent="0.35">
      <c r="B201" s="43" t="s">
        <v>1888</v>
      </c>
      <c r="C201" s="44">
        <v>49935</v>
      </c>
      <c r="D201" s="43" t="s">
        <v>1889</v>
      </c>
      <c r="E201" s="43" t="s">
        <v>1890</v>
      </c>
    </row>
    <row r="202" spans="2:5" x14ac:dyDescent="0.35">
      <c r="B202" s="43" t="s">
        <v>44</v>
      </c>
      <c r="C202" s="44">
        <v>49500</v>
      </c>
      <c r="D202" s="43" t="s">
        <v>2025</v>
      </c>
      <c r="E202" s="43" t="s">
        <v>2026</v>
      </c>
    </row>
    <row r="203" spans="2:5" x14ac:dyDescent="0.35">
      <c r="B203" s="43" t="s">
        <v>1930</v>
      </c>
      <c r="C203" s="44">
        <v>49348</v>
      </c>
      <c r="D203" s="43" t="s">
        <v>1931</v>
      </c>
      <c r="E203" s="43" t="s">
        <v>1932</v>
      </c>
    </row>
    <row r="204" spans="2:5" x14ac:dyDescent="0.35">
      <c r="B204" s="43" t="s">
        <v>1984</v>
      </c>
      <c r="C204" s="44">
        <v>49331</v>
      </c>
      <c r="D204" s="43" t="s">
        <v>1985</v>
      </c>
      <c r="E204" s="43" t="s">
        <v>1986</v>
      </c>
    </row>
    <row r="205" spans="2:5" x14ac:dyDescent="0.35">
      <c r="B205" s="43" t="s">
        <v>2591</v>
      </c>
      <c r="C205" s="44">
        <v>49282</v>
      </c>
      <c r="D205" s="43" t="s">
        <v>1911</v>
      </c>
      <c r="E205" s="43" t="s">
        <v>1912</v>
      </c>
    </row>
    <row r="206" spans="2:5" x14ac:dyDescent="0.35">
      <c r="B206" s="43" t="s">
        <v>2146</v>
      </c>
      <c r="C206" s="44">
        <v>49228</v>
      </c>
      <c r="D206" s="43" t="s">
        <v>2147</v>
      </c>
      <c r="E206" s="43" t="s">
        <v>2148</v>
      </c>
    </row>
    <row r="207" spans="2:5" x14ac:dyDescent="0.35">
      <c r="B207" s="43" t="s">
        <v>2602</v>
      </c>
      <c r="C207" s="44">
        <v>49199</v>
      </c>
      <c r="D207" s="43" t="s">
        <v>2046</v>
      </c>
      <c r="E207" s="43" t="s">
        <v>2047</v>
      </c>
    </row>
    <row r="208" spans="2:5" x14ac:dyDescent="0.35">
      <c r="B208" s="43" t="s">
        <v>1994</v>
      </c>
      <c r="C208" s="44">
        <v>48930</v>
      </c>
      <c r="D208" s="43" t="s">
        <v>1995</v>
      </c>
      <c r="E208" s="43" t="s">
        <v>1996</v>
      </c>
    </row>
    <row r="209" spans="2:5" x14ac:dyDescent="0.35">
      <c r="B209" s="43" t="s">
        <v>2077</v>
      </c>
      <c r="C209" s="44">
        <v>48789</v>
      </c>
      <c r="D209" s="43" t="s">
        <v>2078</v>
      </c>
      <c r="E209" s="43" t="s">
        <v>2079</v>
      </c>
    </row>
    <row r="210" spans="2:5" x14ac:dyDescent="0.35">
      <c r="B210" s="43" t="s">
        <v>1933</v>
      </c>
      <c r="C210" s="44">
        <v>48750</v>
      </c>
      <c r="D210" s="43" t="s">
        <v>1934</v>
      </c>
      <c r="E210" s="43" t="s">
        <v>1935</v>
      </c>
    </row>
    <row r="211" spans="2:5" x14ac:dyDescent="0.35">
      <c r="B211" s="43" t="s">
        <v>1895</v>
      </c>
      <c r="C211" s="44">
        <v>48667.5</v>
      </c>
      <c r="D211" s="43" t="s">
        <v>1896</v>
      </c>
      <c r="E211" s="43" t="s">
        <v>1897</v>
      </c>
    </row>
    <row r="212" spans="2:5" x14ac:dyDescent="0.35">
      <c r="B212" s="43" t="s">
        <v>2065</v>
      </c>
      <c r="C212" s="44">
        <v>48473.41</v>
      </c>
      <c r="D212" s="43" t="s">
        <v>2066</v>
      </c>
      <c r="E212" s="43" t="s">
        <v>2067</v>
      </c>
    </row>
    <row r="213" spans="2:5" x14ac:dyDescent="0.35">
      <c r="B213" s="43" t="s">
        <v>1924</v>
      </c>
      <c r="C213" s="44">
        <v>48414</v>
      </c>
      <c r="D213" s="43" t="s">
        <v>1925</v>
      </c>
      <c r="E213" s="43" t="s">
        <v>1926</v>
      </c>
    </row>
    <row r="214" spans="2:5" x14ac:dyDescent="0.35">
      <c r="B214" s="43" t="s">
        <v>1993</v>
      </c>
      <c r="C214" s="44">
        <v>48403</v>
      </c>
      <c r="D214" s="43" t="s">
        <v>1481</v>
      </c>
      <c r="E214" s="43" t="s">
        <v>1482</v>
      </c>
    </row>
    <row r="215" spans="2:5" x14ac:dyDescent="0.35">
      <c r="B215" s="43" t="s">
        <v>634</v>
      </c>
      <c r="C215" s="44">
        <v>48000</v>
      </c>
      <c r="D215" s="43" t="s">
        <v>1982</v>
      </c>
      <c r="E215" s="43" t="s">
        <v>1983</v>
      </c>
    </row>
    <row r="216" spans="2:5" x14ac:dyDescent="0.35">
      <c r="B216" s="43" t="s">
        <v>1979</v>
      </c>
      <c r="C216" s="44">
        <v>48000</v>
      </c>
      <c r="D216" s="43" t="s">
        <v>1980</v>
      </c>
      <c r="E216" s="43" t="s">
        <v>1981</v>
      </c>
    </row>
    <row r="217" spans="2:5" x14ac:dyDescent="0.35">
      <c r="B217" s="43" t="s">
        <v>1916</v>
      </c>
      <c r="C217" s="44">
        <v>47813</v>
      </c>
      <c r="D217" s="43" t="s">
        <v>1917</v>
      </c>
      <c r="E217" s="43" t="s">
        <v>1918</v>
      </c>
    </row>
    <row r="218" spans="2:5" x14ac:dyDescent="0.35">
      <c r="B218" s="43" t="s">
        <v>1942</v>
      </c>
      <c r="C218" s="44">
        <v>47640</v>
      </c>
      <c r="D218" s="43" t="s">
        <v>1943</v>
      </c>
      <c r="E218" s="43" t="s">
        <v>1944</v>
      </c>
    </row>
    <row r="219" spans="2:5" x14ac:dyDescent="0.35">
      <c r="B219" s="43" t="s">
        <v>1798</v>
      </c>
      <c r="C219" s="44">
        <v>47551</v>
      </c>
      <c r="D219" s="43" t="s">
        <v>404</v>
      </c>
      <c r="E219" s="43" t="s">
        <v>405</v>
      </c>
    </row>
    <row r="220" spans="2:5" x14ac:dyDescent="0.35">
      <c r="B220" s="43" t="s">
        <v>2030</v>
      </c>
      <c r="C220" s="44">
        <v>47364</v>
      </c>
      <c r="D220" s="43" t="s">
        <v>2031</v>
      </c>
      <c r="E220" s="43" t="s">
        <v>2032</v>
      </c>
    </row>
    <row r="221" spans="2:5" x14ac:dyDescent="0.35">
      <c r="B221" s="43" t="s">
        <v>2106</v>
      </c>
      <c r="C221" s="44">
        <v>47335</v>
      </c>
      <c r="D221" s="43" t="s">
        <v>2107</v>
      </c>
      <c r="E221" s="43" t="s">
        <v>2108</v>
      </c>
    </row>
    <row r="222" spans="2:5" x14ac:dyDescent="0.35">
      <c r="B222" s="43" t="s">
        <v>709</v>
      </c>
      <c r="C222" s="44">
        <v>47275</v>
      </c>
      <c r="D222" s="43" t="s">
        <v>710</v>
      </c>
      <c r="E222" s="43" t="s">
        <v>711</v>
      </c>
    </row>
    <row r="223" spans="2:5" x14ac:dyDescent="0.35">
      <c r="B223" s="43" t="s">
        <v>636</v>
      </c>
      <c r="C223" s="44">
        <v>47017</v>
      </c>
      <c r="D223" s="43" t="s">
        <v>637</v>
      </c>
      <c r="E223" s="43" t="s">
        <v>638</v>
      </c>
    </row>
    <row r="224" spans="2:5" x14ac:dyDescent="0.35">
      <c r="B224" s="43" t="s">
        <v>2089</v>
      </c>
      <c r="C224" s="44">
        <v>47000</v>
      </c>
      <c r="D224" s="43" t="s">
        <v>2090</v>
      </c>
      <c r="E224" s="43" t="s">
        <v>2091</v>
      </c>
    </row>
    <row r="225" spans="2:5" x14ac:dyDescent="0.35">
      <c r="B225" s="43" t="s">
        <v>2039</v>
      </c>
      <c r="C225" s="44">
        <v>46724</v>
      </c>
      <c r="D225" s="43" t="s">
        <v>2040</v>
      </c>
      <c r="E225" s="43" t="s">
        <v>2041</v>
      </c>
    </row>
    <row r="226" spans="2:5" x14ac:dyDescent="0.35">
      <c r="B226" s="43" t="s">
        <v>31</v>
      </c>
      <c r="C226" s="44">
        <v>46350</v>
      </c>
      <c r="D226" s="43" t="s">
        <v>1862</v>
      </c>
      <c r="E226" s="43" t="s">
        <v>1863</v>
      </c>
    </row>
    <row r="227" spans="2:5" x14ac:dyDescent="0.35">
      <c r="B227" s="43" t="s">
        <v>2086</v>
      </c>
      <c r="C227" s="44">
        <v>46310</v>
      </c>
      <c r="D227" s="43" t="s">
        <v>2087</v>
      </c>
      <c r="E227" s="43" t="s">
        <v>2088</v>
      </c>
    </row>
    <row r="228" spans="2:5" x14ac:dyDescent="0.35">
      <c r="B228" s="43" t="s">
        <v>1967</v>
      </c>
      <c r="C228" s="44">
        <v>46160</v>
      </c>
      <c r="D228" s="43" t="s">
        <v>1968</v>
      </c>
      <c r="E228" s="43" t="s">
        <v>1969</v>
      </c>
    </row>
    <row r="229" spans="2:5" x14ac:dyDescent="0.35">
      <c r="B229" s="43" t="s">
        <v>2068</v>
      </c>
      <c r="C229" s="44">
        <v>45892</v>
      </c>
      <c r="D229" s="43" t="s">
        <v>2069</v>
      </c>
      <c r="E229" s="43" t="s">
        <v>2070</v>
      </c>
    </row>
    <row r="230" spans="2:5" x14ac:dyDescent="0.35">
      <c r="B230" s="43" t="s">
        <v>2002</v>
      </c>
      <c r="C230" s="44">
        <v>45679</v>
      </c>
      <c r="D230" s="43" t="s">
        <v>1874</v>
      </c>
      <c r="E230" s="43" t="s">
        <v>1875</v>
      </c>
    </row>
    <row r="231" spans="2:5" x14ac:dyDescent="0.35">
      <c r="B231" s="43" t="s">
        <v>2018</v>
      </c>
      <c r="C231" s="44">
        <v>45524</v>
      </c>
      <c r="D231" s="43" t="s">
        <v>2019</v>
      </c>
      <c r="E231" s="43" t="s">
        <v>2020</v>
      </c>
    </row>
    <row r="232" spans="2:5" x14ac:dyDescent="0.35">
      <c r="B232" s="43" t="s">
        <v>1990</v>
      </c>
      <c r="C232" s="44">
        <v>45483</v>
      </c>
      <c r="D232" s="43" t="s">
        <v>1991</v>
      </c>
      <c r="E232" s="43" t="s">
        <v>1992</v>
      </c>
    </row>
    <row r="233" spans="2:5" x14ac:dyDescent="0.35">
      <c r="B233" s="43" t="s">
        <v>2005</v>
      </c>
      <c r="C233" s="44">
        <v>45445</v>
      </c>
      <c r="D233" s="43" t="s">
        <v>2006</v>
      </c>
      <c r="E233" s="43" t="s">
        <v>2007</v>
      </c>
    </row>
    <row r="234" spans="2:5" x14ac:dyDescent="0.35">
      <c r="B234" s="43" t="s">
        <v>1836</v>
      </c>
      <c r="C234" s="44">
        <v>45438</v>
      </c>
      <c r="D234" s="43" t="s">
        <v>1837</v>
      </c>
      <c r="E234" s="43" t="s">
        <v>1838</v>
      </c>
    </row>
    <row r="235" spans="2:5" x14ac:dyDescent="0.35">
      <c r="B235" s="43" t="s">
        <v>2120</v>
      </c>
      <c r="C235" s="44">
        <v>45195</v>
      </c>
      <c r="D235" s="43" t="s">
        <v>2121</v>
      </c>
      <c r="E235" s="43" t="s">
        <v>2122</v>
      </c>
    </row>
    <row r="236" spans="2:5" x14ac:dyDescent="0.35">
      <c r="B236" s="43" t="s">
        <v>2131</v>
      </c>
      <c r="C236" s="44">
        <v>45075</v>
      </c>
      <c r="D236" s="43" t="s">
        <v>2132</v>
      </c>
      <c r="E236" s="43" t="s">
        <v>2133</v>
      </c>
    </row>
    <row r="237" spans="2:5" x14ac:dyDescent="0.35">
      <c r="B237" s="43" t="s">
        <v>2149</v>
      </c>
      <c r="C237" s="44">
        <v>45068</v>
      </c>
      <c r="D237" s="43" t="s">
        <v>2150</v>
      </c>
      <c r="E237" s="43" t="s">
        <v>2151</v>
      </c>
    </row>
    <row r="238" spans="2:5" x14ac:dyDescent="0.35">
      <c r="B238" s="43" t="s">
        <v>628</v>
      </c>
      <c r="C238" s="44">
        <v>45000</v>
      </c>
      <c r="D238" s="43" t="s">
        <v>2016</v>
      </c>
      <c r="E238" s="43" t="s">
        <v>2017</v>
      </c>
    </row>
    <row r="239" spans="2:5" x14ac:dyDescent="0.35">
      <c r="B239" s="43" t="s">
        <v>2412</v>
      </c>
      <c r="C239" s="44">
        <v>45000</v>
      </c>
      <c r="D239" s="43" t="s">
        <v>2413</v>
      </c>
      <c r="E239" s="43" t="s">
        <v>2414</v>
      </c>
    </row>
    <row r="240" spans="2:5" x14ac:dyDescent="0.35">
      <c r="B240" s="43" t="s">
        <v>2048</v>
      </c>
      <c r="C240" s="44">
        <v>44820</v>
      </c>
      <c r="D240" s="43" t="s">
        <v>2049</v>
      </c>
      <c r="E240" s="43" t="s">
        <v>2050</v>
      </c>
    </row>
    <row r="241" spans="2:5" x14ac:dyDescent="0.35">
      <c r="B241" s="43" t="s">
        <v>2060</v>
      </c>
      <c r="C241" s="44">
        <v>44500</v>
      </c>
      <c r="D241" s="43" t="s">
        <v>2061</v>
      </c>
      <c r="E241" s="43" t="s">
        <v>2062</v>
      </c>
    </row>
    <row r="242" spans="2:5" x14ac:dyDescent="0.35">
      <c r="B242" s="43" t="s">
        <v>2100</v>
      </c>
      <c r="C242" s="44">
        <v>44306</v>
      </c>
      <c r="D242" s="43" t="s">
        <v>2101</v>
      </c>
      <c r="E242" s="43" t="s">
        <v>2102</v>
      </c>
    </row>
    <row r="243" spans="2:5" x14ac:dyDescent="0.35">
      <c r="B243" s="43" t="s">
        <v>2080</v>
      </c>
      <c r="C243" s="44">
        <v>44250</v>
      </c>
      <c r="D243" s="43" t="s">
        <v>2081</v>
      </c>
      <c r="E243" s="43" t="s">
        <v>2082</v>
      </c>
    </row>
    <row r="244" spans="2:5" x14ac:dyDescent="0.35">
      <c r="B244" s="43" t="s">
        <v>2116</v>
      </c>
      <c r="C244" s="44">
        <v>44100</v>
      </c>
      <c r="D244" s="43" t="s">
        <v>1436</v>
      </c>
      <c r="E244" s="43" t="s">
        <v>1437</v>
      </c>
    </row>
    <row r="245" spans="2:5" x14ac:dyDescent="0.35">
      <c r="B245" s="43" t="s">
        <v>2117</v>
      </c>
      <c r="C245" s="44">
        <v>43857</v>
      </c>
      <c r="D245" s="43" t="s">
        <v>2118</v>
      </c>
      <c r="E245" s="43" t="s">
        <v>2119</v>
      </c>
    </row>
    <row r="246" spans="2:5" x14ac:dyDescent="0.35">
      <c r="B246" s="43" t="s">
        <v>2008</v>
      </c>
      <c r="C246" s="44">
        <v>43789</v>
      </c>
      <c r="D246" s="43" t="s">
        <v>2009</v>
      </c>
      <c r="E246" s="43" t="s">
        <v>2010</v>
      </c>
    </row>
    <row r="247" spans="2:5" x14ac:dyDescent="0.35">
      <c r="B247" s="43" t="s">
        <v>2011</v>
      </c>
      <c r="C247" s="44">
        <v>43768</v>
      </c>
      <c r="D247" s="43" t="s">
        <v>2012</v>
      </c>
      <c r="E247" s="43" t="s">
        <v>2013</v>
      </c>
    </row>
    <row r="248" spans="2:5" x14ac:dyDescent="0.35">
      <c r="B248" s="43" t="s">
        <v>1891</v>
      </c>
      <c r="C248" s="44">
        <v>43664</v>
      </c>
      <c r="D248" s="43" t="s">
        <v>1892</v>
      </c>
      <c r="E248" s="43" t="s">
        <v>1893</v>
      </c>
    </row>
    <row r="249" spans="2:5" x14ac:dyDescent="0.35">
      <c r="B249" s="43" t="s">
        <v>2021</v>
      </c>
      <c r="C249" s="44">
        <v>43651</v>
      </c>
      <c r="D249" s="43" t="s">
        <v>2022</v>
      </c>
      <c r="E249" s="43" t="s">
        <v>2023</v>
      </c>
    </row>
    <row r="250" spans="2:5" x14ac:dyDescent="0.35">
      <c r="B250" s="43" t="s">
        <v>2033</v>
      </c>
      <c r="C250" s="44">
        <v>43500</v>
      </c>
      <c r="D250" s="43" t="s">
        <v>2034</v>
      </c>
      <c r="E250" s="43" t="s">
        <v>2035</v>
      </c>
    </row>
    <row r="251" spans="2:5" x14ac:dyDescent="0.35">
      <c r="B251" s="43" t="s">
        <v>2083</v>
      </c>
      <c r="C251" s="44">
        <v>43500</v>
      </c>
      <c r="D251" s="43" t="s">
        <v>2084</v>
      </c>
      <c r="E251" s="43" t="s">
        <v>2085</v>
      </c>
    </row>
    <row r="252" spans="2:5" x14ac:dyDescent="0.35">
      <c r="B252" s="43" t="s">
        <v>408</v>
      </c>
      <c r="C252" s="44">
        <v>43455</v>
      </c>
      <c r="D252" s="43" t="s">
        <v>2000</v>
      </c>
      <c r="E252" s="43" t="s">
        <v>2001</v>
      </c>
    </row>
    <row r="253" spans="2:5" x14ac:dyDescent="0.35">
      <c r="B253" s="43" t="s">
        <v>2103</v>
      </c>
      <c r="C253" s="44">
        <v>43435</v>
      </c>
      <c r="D253" s="43" t="s">
        <v>2104</v>
      </c>
      <c r="E253" s="43" t="s">
        <v>2105</v>
      </c>
    </row>
    <row r="254" spans="2:5" x14ac:dyDescent="0.35">
      <c r="B254" s="43" t="s">
        <v>2134</v>
      </c>
      <c r="C254" s="44">
        <v>43395</v>
      </c>
      <c r="D254" s="43" t="s">
        <v>2135</v>
      </c>
      <c r="E254" s="43" t="s">
        <v>2136</v>
      </c>
    </row>
    <row r="255" spans="2:5" x14ac:dyDescent="0.35">
      <c r="B255" s="43" t="s">
        <v>2112</v>
      </c>
      <c r="C255" s="44">
        <v>43320</v>
      </c>
      <c r="D255" s="43" t="s">
        <v>2113</v>
      </c>
      <c r="E255" s="43" t="s">
        <v>2114</v>
      </c>
    </row>
    <row r="256" spans="2:5" x14ac:dyDescent="0.35">
      <c r="B256" s="43" t="s">
        <v>1997</v>
      </c>
      <c r="C256" s="44">
        <v>43320</v>
      </c>
      <c r="D256" s="43" t="s">
        <v>1998</v>
      </c>
      <c r="E256" s="43" t="s">
        <v>1999</v>
      </c>
    </row>
    <row r="257" spans="2:5" x14ac:dyDescent="0.35">
      <c r="B257" s="43" t="s">
        <v>696</v>
      </c>
      <c r="C257" s="44">
        <v>43051</v>
      </c>
      <c r="D257" s="43" t="s">
        <v>2044</v>
      </c>
      <c r="E257" s="43" t="s">
        <v>2045</v>
      </c>
    </row>
    <row r="258" spans="2:5" x14ac:dyDescent="0.35">
      <c r="B258" s="43" t="s">
        <v>2260</v>
      </c>
      <c r="C258" s="44">
        <v>43016</v>
      </c>
      <c r="D258" s="43" t="s">
        <v>2261</v>
      </c>
      <c r="E258" s="43" t="s">
        <v>2262</v>
      </c>
    </row>
    <row r="259" spans="2:5" x14ac:dyDescent="0.35">
      <c r="B259" s="43" t="s">
        <v>2054</v>
      </c>
      <c r="C259" s="44">
        <v>42863</v>
      </c>
      <c r="D259" s="43" t="s">
        <v>2055</v>
      </c>
      <c r="E259" s="43" t="s">
        <v>2056</v>
      </c>
    </row>
    <row r="260" spans="2:5" x14ac:dyDescent="0.35">
      <c r="B260" s="43" t="s">
        <v>703</v>
      </c>
      <c r="C260" s="44">
        <v>42846</v>
      </c>
      <c r="D260" s="43" t="s">
        <v>704</v>
      </c>
      <c r="E260" s="43" t="s">
        <v>705</v>
      </c>
    </row>
    <row r="261" spans="2:5" x14ac:dyDescent="0.35">
      <c r="B261" s="43" t="s">
        <v>2074</v>
      </c>
      <c r="C261" s="44">
        <v>42716.25</v>
      </c>
      <c r="D261" s="43" t="s">
        <v>2075</v>
      </c>
      <c r="E261" s="43" t="s">
        <v>2076</v>
      </c>
    </row>
    <row r="262" spans="2:5" x14ac:dyDescent="0.35">
      <c r="B262" s="43" t="s">
        <v>1973</v>
      </c>
      <c r="C262" s="44">
        <v>42642</v>
      </c>
      <c r="D262" s="43" t="s">
        <v>1974</v>
      </c>
      <c r="E262" s="43" t="s">
        <v>1975</v>
      </c>
    </row>
    <row r="263" spans="2:5" x14ac:dyDescent="0.35">
      <c r="B263" s="43" t="s">
        <v>2583</v>
      </c>
      <c r="C263" s="44">
        <v>42375</v>
      </c>
      <c r="D263" s="43" t="s">
        <v>1616</v>
      </c>
      <c r="E263" s="43" t="s">
        <v>1617</v>
      </c>
    </row>
    <row r="264" spans="2:5" x14ac:dyDescent="0.35">
      <c r="B264" s="43" t="s">
        <v>58</v>
      </c>
      <c r="C264" s="44">
        <v>42180</v>
      </c>
      <c r="D264" s="43" t="s">
        <v>61</v>
      </c>
      <c r="E264" s="43" t="s">
        <v>62</v>
      </c>
    </row>
    <row r="265" spans="2:5" x14ac:dyDescent="0.35">
      <c r="B265" s="43" t="s">
        <v>2123</v>
      </c>
      <c r="C265" s="44">
        <v>42174</v>
      </c>
      <c r="D265" s="43" t="s">
        <v>2124</v>
      </c>
      <c r="E265" s="43" t="s">
        <v>2125</v>
      </c>
    </row>
    <row r="266" spans="2:5" x14ac:dyDescent="0.35">
      <c r="B266" s="43" t="s">
        <v>2128</v>
      </c>
      <c r="C266" s="44">
        <v>41500</v>
      </c>
      <c r="D266" s="43" t="s">
        <v>2129</v>
      </c>
      <c r="E266" s="43" t="s">
        <v>2130</v>
      </c>
    </row>
    <row r="267" spans="2:5" x14ac:dyDescent="0.35">
      <c r="B267" s="43" t="s">
        <v>391</v>
      </c>
      <c r="C267" s="44">
        <v>41370</v>
      </c>
      <c r="D267" s="43" t="s">
        <v>1499</v>
      </c>
      <c r="E267" s="43" t="s">
        <v>1500</v>
      </c>
    </row>
    <row r="268" spans="2:5" x14ac:dyDescent="0.35">
      <c r="B268" s="43" t="s">
        <v>2140</v>
      </c>
      <c r="C268" s="44">
        <v>41349</v>
      </c>
      <c r="D268" s="43" t="s">
        <v>2141</v>
      </c>
      <c r="E268" s="43" t="s">
        <v>2142</v>
      </c>
    </row>
    <row r="269" spans="2:5" x14ac:dyDescent="0.35">
      <c r="B269" s="43" t="s">
        <v>2097</v>
      </c>
      <c r="C269" s="44">
        <v>41042</v>
      </c>
      <c r="D269" s="43" t="s">
        <v>2098</v>
      </c>
      <c r="E269" s="43" t="s">
        <v>2099</v>
      </c>
    </row>
    <row r="270" spans="2:5" x14ac:dyDescent="0.35">
      <c r="B270" s="43" t="s">
        <v>715</v>
      </c>
      <c r="C270" s="44">
        <v>40790</v>
      </c>
      <c r="D270" s="43" t="s">
        <v>716</v>
      </c>
      <c r="E270" s="43" t="s">
        <v>717</v>
      </c>
    </row>
    <row r="271" spans="2:5" x14ac:dyDescent="0.35">
      <c r="B271" s="43" t="s">
        <v>2063</v>
      </c>
      <c r="C271" s="44">
        <v>40625</v>
      </c>
      <c r="D271" s="43" t="s">
        <v>619</v>
      </c>
      <c r="E271" s="43" t="s">
        <v>2064</v>
      </c>
    </row>
    <row r="272" spans="2:5" x14ac:dyDescent="0.35">
      <c r="B272" s="43" t="s">
        <v>647</v>
      </c>
      <c r="C272" s="44">
        <v>40472</v>
      </c>
      <c r="D272" s="43" t="s">
        <v>648</v>
      </c>
      <c r="E272" s="43" t="s">
        <v>649</v>
      </c>
    </row>
    <row r="273" spans="2:5" x14ac:dyDescent="0.35">
      <c r="B273" s="43" t="s">
        <v>411</v>
      </c>
      <c r="C273" s="44">
        <v>40330</v>
      </c>
      <c r="D273" s="43" t="s">
        <v>412</v>
      </c>
      <c r="E273" s="43" t="s">
        <v>413</v>
      </c>
    </row>
    <row r="274" spans="2:5" x14ac:dyDescent="0.35">
      <c r="B274" s="43" t="s">
        <v>406</v>
      </c>
      <c r="C274" s="44">
        <v>40175</v>
      </c>
      <c r="D274" s="43" t="s">
        <v>1466</v>
      </c>
      <c r="E274" s="43" t="s">
        <v>407</v>
      </c>
    </row>
    <row r="275" spans="2:5" x14ac:dyDescent="0.35">
      <c r="B275" s="43" t="s">
        <v>401</v>
      </c>
      <c r="C275" s="44">
        <v>40015</v>
      </c>
      <c r="D275" s="43" t="s">
        <v>402</v>
      </c>
      <c r="E275" s="43" t="s">
        <v>403</v>
      </c>
    </row>
    <row r="276" spans="2:5" x14ac:dyDescent="0.35">
      <c r="B276" s="43" t="s">
        <v>2409</v>
      </c>
      <c r="C276" s="44">
        <v>39990</v>
      </c>
      <c r="D276" s="43" t="s">
        <v>2158</v>
      </c>
      <c r="E276" s="43" t="s">
        <v>2159</v>
      </c>
    </row>
    <row r="277" spans="2:5" x14ac:dyDescent="0.35">
      <c r="B277" s="43" t="s">
        <v>429</v>
      </c>
      <c r="C277" s="44">
        <v>39804</v>
      </c>
      <c r="D277" s="43" t="s">
        <v>430</v>
      </c>
      <c r="E277" s="43" t="s">
        <v>431</v>
      </c>
    </row>
    <row r="278" spans="2:5" x14ac:dyDescent="0.35">
      <c r="B278" s="43" t="s">
        <v>398</v>
      </c>
      <c r="C278" s="44">
        <v>39775</v>
      </c>
      <c r="D278" s="43" t="s">
        <v>399</v>
      </c>
      <c r="E278" s="43" t="s">
        <v>400</v>
      </c>
    </row>
    <row r="279" spans="2:5" x14ac:dyDescent="0.35">
      <c r="B279" s="43" t="s">
        <v>642</v>
      </c>
      <c r="C279" s="44">
        <v>39768</v>
      </c>
      <c r="D279" s="43" t="s">
        <v>643</v>
      </c>
      <c r="E279" s="43" t="s">
        <v>644</v>
      </c>
    </row>
    <row r="280" spans="2:5" x14ac:dyDescent="0.35">
      <c r="B280" s="43" t="s">
        <v>666</v>
      </c>
      <c r="C280" s="44">
        <v>39524</v>
      </c>
      <c r="D280" s="43" t="s">
        <v>1445</v>
      </c>
      <c r="E280" s="43" t="s">
        <v>1446</v>
      </c>
    </row>
    <row r="281" spans="2:5" x14ac:dyDescent="0.35">
      <c r="B281" s="43" t="s">
        <v>2595</v>
      </c>
      <c r="C281" s="44">
        <v>38268</v>
      </c>
      <c r="D281" s="43" t="s">
        <v>1818</v>
      </c>
      <c r="E281" s="43" t="s">
        <v>1819</v>
      </c>
    </row>
    <row r="282" spans="2:5" x14ac:dyDescent="0.35">
      <c r="B282" s="43" t="s">
        <v>2160</v>
      </c>
      <c r="C282" s="44">
        <v>38052</v>
      </c>
      <c r="D282" s="43" t="s">
        <v>2161</v>
      </c>
      <c r="E282" s="43" t="s">
        <v>2162</v>
      </c>
    </row>
    <row r="283" spans="2:5" x14ac:dyDescent="0.35">
      <c r="B283" s="43" t="s">
        <v>420</v>
      </c>
      <c r="C283" s="44">
        <v>37756</v>
      </c>
      <c r="D283" s="43" t="s">
        <v>421</v>
      </c>
      <c r="E283" s="43" t="s">
        <v>422</v>
      </c>
    </row>
    <row r="284" spans="2:5" x14ac:dyDescent="0.35">
      <c r="B284" s="43" t="s">
        <v>2407</v>
      </c>
      <c r="C284" s="44">
        <v>37500</v>
      </c>
      <c r="D284" s="43" t="s">
        <v>2014</v>
      </c>
      <c r="E284" s="43" t="s">
        <v>2015</v>
      </c>
    </row>
    <row r="285" spans="2:5" x14ac:dyDescent="0.35">
      <c r="B285" s="43" t="s">
        <v>395</v>
      </c>
      <c r="C285" s="44">
        <v>37500</v>
      </c>
      <c r="D285" s="43" t="s">
        <v>396</v>
      </c>
      <c r="E285" s="43" t="s">
        <v>397</v>
      </c>
    </row>
    <row r="286" spans="2:5" x14ac:dyDescent="0.35">
      <c r="B286" s="43" t="s">
        <v>626</v>
      </c>
      <c r="C286" s="44">
        <v>37300</v>
      </c>
      <c r="D286" s="43" t="s">
        <v>1834</v>
      </c>
      <c r="E286" s="43" t="s">
        <v>1835</v>
      </c>
    </row>
    <row r="287" spans="2:5" x14ac:dyDescent="0.35">
      <c r="B287" s="43" t="s">
        <v>438</v>
      </c>
      <c r="C287" s="44">
        <v>36552</v>
      </c>
      <c r="D287" s="43" t="s">
        <v>439</v>
      </c>
      <c r="E287" s="43" t="s">
        <v>440</v>
      </c>
    </row>
    <row r="288" spans="2:5" x14ac:dyDescent="0.35">
      <c r="B288" s="43" t="s">
        <v>417</v>
      </c>
      <c r="C288" s="44">
        <v>35200</v>
      </c>
      <c r="D288" s="43" t="s">
        <v>418</v>
      </c>
      <c r="E288" s="43" t="s">
        <v>419</v>
      </c>
    </row>
    <row r="289" spans="2:5" x14ac:dyDescent="0.35">
      <c r="B289" s="43" t="s">
        <v>435</v>
      </c>
      <c r="C289" s="44">
        <v>35020</v>
      </c>
      <c r="D289" s="43" t="s">
        <v>436</v>
      </c>
      <c r="E289" s="43" t="s">
        <v>437</v>
      </c>
    </row>
    <row r="290" spans="2:5" x14ac:dyDescent="0.35">
      <c r="B290" s="43" t="s">
        <v>456</v>
      </c>
      <c r="C290" s="44">
        <v>34109</v>
      </c>
      <c r="D290" s="43" t="s">
        <v>457</v>
      </c>
      <c r="E290" s="43" t="s">
        <v>458</v>
      </c>
    </row>
    <row r="291" spans="2:5" x14ac:dyDescent="0.35">
      <c r="B291" s="43" t="s">
        <v>432</v>
      </c>
      <c r="C291" s="44">
        <v>33750</v>
      </c>
      <c r="D291" s="43" t="s">
        <v>433</v>
      </c>
      <c r="E291" s="43" t="s">
        <v>434</v>
      </c>
    </row>
    <row r="292" spans="2:5" x14ac:dyDescent="0.35">
      <c r="B292" s="43" t="s">
        <v>450</v>
      </c>
      <c r="C292" s="44">
        <v>33627</v>
      </c>
      <c r="D292" s="43" t="s">
        <v>451</v>
      </c>
      <c r="E292" s="43" t="s">
        <v>452</v>
      </c>
    </row>
    <row r="293" spans="2:5" x14ac:dyDescent="0.35">
      <c r="B293" s="43" t="s">
        <v>2248</v>
      </c>
      <c r="C293" s="44">
        <v>32900</v>
      </c>
      <c r="D293" s="43" t="s">
        <v>2249</v>
      </c>
      <c r="E293" s="43" t="s">
        <v>2250</v>
      </c>
    </row>
    <row r="294" spans="2:5" x14ac:dyDescent="0.35">
      <c r="B294" s="43" t="s">
        <v>447</v>
      </c>
      <c r="C294" s="44">
        <v>32304</v>
      </c>
      <c r="D294" s="43" t="s">
        <v>448</v>
      </c>
      <c r="E294" s="43" t="s">
        <v>449</v>
      </c>
    </row>
    <row r="295" spans="2:5" x14ac:dyDescent="0.35">
      <c r="B295" s="43" t="s">
        <v>2588</v>
      </c>
      <c r="C295" s="44">
        <v>32000</v>
      </c>
      <c r="D295" s="43" t="s">
        <v>454</v>
      </c>
      <c r="E295" s="43" t="s">
        <v>455</v>
      </c>
    </row>
    <row r="296" spans="2:5" x14ac:dyDescent="0.35">
      <c r="B296" s="43" t="s">
        <v>1720</v>
      </c>
      <c r="C296" s="44">
        <v>32000</v>
      </c>
      <c r="D296" s="43" t="s">
        <v>1721</v>
      </c>
      <c r="E296" s="43" t="s">
        <v>1722</v>
      </c>
    </row>
    <row r="297" spans="2:5" x14ac:dyDescent="0.35">
      <c r="B297" s="43" t="s">
        <v>700</v>
      </c>
      <c r="C297" s="44">
        <v>32000</v>
      </c>
      <c r="D297" s="43" t="s">
        <v>1720</v>
      </c>
      <c r="E297" s="43" t="s">
        <v>701</v>
      </c>
    </row>
    <row r="298" spans="2:5" x14ac:dyDescent="0.35">
      <c r="B298" s="43" t="s">
        <v>468</v>
      </c>
      <c r="C298" s="44">
        <v>31261</v>
      </c>
      <c r="D298" s="43" t="s">
        <v>469</v>
      </c>
      <c r="E298" s="43" t="s">
        <v>470</v>
      </c>
    </row>
    <row r="299" spans="2:5" x14ac:dyDescent="0.35">
      <c r="B299" s="43" t="s">
        <v>2263</v>
      </c>
      <c r="C299" s="44">
        <v>31090.63</v>
      </c>
      <c r="D299" s="43" t="s">
        <v>2264</v>
      </c>
      <c r="E299" s="43" t="s">
        <v>2265</v>
      </c>
    </row>
    <row r="300" spans="2:5" x14ac:dyDescent="0.35">
      <c r="B300" s="43" t="s">
        <v>2286</v>
      </c>
      <c r="C300" s="44">
        <v>30226</v>
      </c>
      <c r="D300" s="43" t="s">
        <v>2180</v>
      </c>
      <c r="E300" s="43" t="s">
        <v>2181</v>
      </c>
    </row>
    <row r="301" spans="2:5" x14ac:dyDescent="0.35">
      <c r="B301" s="43" t="s">
        <v>459</v>
      </c>
      <c r="C301" s="44">
        <v>30000</v>
      </c>
      <c r="D301" s="43" t="s">
        <v>460</v>
      </c>
      <c r="E301" s="43" t="s">
        <v>461</v>
      </c>
    </row>
    <row r="302" spans="2:5" x14ac:dyDescent="0.35">
      <c r="B302" s="43" t="s">
        <v>2226</v>
      </c>
      <c r="C302" s="44">
        <v>28738</v>
      </c>
      <c r="D302" s="43" t="s">
        <v>2227</v>
      </c>
      <c r="E302" s="43" t="s">
        <v>2228</v>
      </c>
    </row>
    <row r="303" spans="2:5" x14ac:dyDescent="0.35">
      <c r="B303" s="43" t="s">
        <v>2251</v>
      </c>
      <c r="C303" s="44">
        <v>28255</v>
      </c>
      <c r="D303" s="43" t="s">
        <v>2252</v>
      </c>
      <c r="E303" s="43" t="s">
        <v>2253</v>
      </c>
    </row>
    <row r="304" spans="2:5" x14ac:dyDescent="0.35">
      <c r="B304" s="43" t="s">
        <v>484</v>
      </c>
      <c r="C304" s="44">
        <v>28086</v>
      </c>
      <c r="D304" s="43" t="s">
        <v>1564</v>
      </c>
      <c r="E304" s="43" t="s">
        <v>1565</v>
      </c>
    </row>
    <row r="305" spans="2:5" x14ac:dyDescent="0.35">
      <c r="B305" s="43" t="s">
        <v>2257</v>
      </c>
      <c r="C305" s="44">
        <v>28080</v>
      </c>
      <c r="D305" s="43" t="s">
        <v>2258</v>
      </c>
      <c r="E305" s="43" t="s">
        <v>2259</v>
      </c>
    </row>
    <row r="306" spans="2:5" x14ac:dyDescent="0.35">
      <c r="B306" s="43" t="s">
        <v>453</v>
      </c>
      <c r="C306" s="44">
        <v>28000</v>
      </c>
      <c r="D306" s="43" t="s">
        <v>2391</v>
      </c>
      <c r="E306" s="43" t="s">
        <v>2392</v>
      </c>
    </row>
    <row r="307" spans="2:5" x14ac:dyDescent="0.35">
      <c r="B307" s="43" t="s">
        <v>2137</v>
      </c>
      <c r="C307" s="44">
        <v>27950</v>
      </c>
      <c r="D307" s="43" t="s">
        <v>2138</v>
      </c>
      <c r="E307" s="43" t="s">
        <v>2139</v>
      </c>
    </row>
    <row r="308" spans="2:5" x14ac:dyDescent="0.35">
      <c r="B308" s="43" t="s">
        <v>28</v>
      </c>
      <c r="C308" s="44">
        <v>27800</v>
      </c>
      <c r="D308" s="43" t="s">
        <v>29</v>
      </c>
      <c r="E308" s="43" t="s">
        <v>30</v>
      </c>
    </row>
    <row r="309" spans="2:5" x14ac:dyDescent="0.35">
      <c r="B309" s="43" t="s">
        <v>485</v>
      </c>
      <c r="C309" s="44">
        <v>27773</v>
      </c>
      <c r="D309" s="43" t="s">
        <v>2266</v>
      </c>
      <c r="E309" s="43" t="s">
        <v>2267</v>
      </c>
    </row>
    <row r="310" spans="2:5" x14ac:dyDescent="0.35">
      <c r="B310" s="43" t="s">
        <v>485</v>
      </c>
      <c r="C310" s="44">
        <v>27773</v>
      </c>
      <c r="D310" s="43" t="s">
        <v>2246</v>
      </c>
      <c r="E310" s="43" t="s">
        <v>2247</v>
      </c>
    </row>
    <row r="311" spans="2:5" x14ac:dyDescent="0.35">
      <c r="B311" s="43" t="s">
        <v>477</v>
      </c>
      <c r="C311" s="44">
        <v>27565</v>
      </c>
      <c r="D311" s="43" t="s">
        <v>1636</v>
      </c>
      <c r="E311" s="43" t="s">
        <v>1637</v>
      </c>
    </row>
    <row r="312" spans="2:5" x14ac:dyDescent="0.35">
      <c r="B312" s="43" t="s">
        <v>2277</v>
      </c>
      <c r="C312" s="44">
        <v>27500</v>
      </c>
      <c r="D312" s="43" t="s">
        <v>2278</v>
      </c>
      <c r="E312" s="43" t="s">
        <v>2279</v>
      </c>
    </row>
    <row r="313" spans="2:5" x14ac:dyDescent="0.35">
      <c r="B313" s="43" t="s">
        <v>478</v>
      </c>
      <c r="C313" s="44">
        <v>27500</v>
      </c>
      <c r="D313" s="43" t="s">
        <v>479</v>
      </c>
      <c r="E313" s="43" t="s">
        <v>480</v>
      </c>
    </row>
    <row r="314" spans="2:5" x14ac:dyDescent="0.35">
      <c r="B314" s="43" t="s">
        <v>2274</v>
      </c>
      <c r="C314" s="44">
        <v>27102</v>
      </c>
      <c r="D314" s="43" t="s">
        <v>2275</v>
      </c>
      <c r="E314" s="43" t="s">
        <v>2276</v>
      </c>
    </row>
    <row r="315" spans="2:5" x14ac:dyDescent="0.35">
      <c r="B315" s="43" t="s">
        <v>2196</v>
      </c>
      <c r="C315" s="44">
        <v>26988</v>
      </c>
      <c r="D315" s="43" t="s">
        <v>2197</v>
      </c>
      <c r="E315" s="43" t="s">
        <v>2198</v>
      </c>
    </row>
    <row r="316" spans="2:5" x14ac:dyDescent="0.35">
      <c r="B316" s="43" t="s">
        <v>2254</v>
      </c>
      <c r="C316" s="44">
        <v>26258</v>
      </c>
      <c r="D316" s="43" t="s">
        <v>2255</v>
      </c>
      <c r="E316" s="43" t="s">
        <v>2256</v>
      </c>
    </row>
    <row r="317" spans="2:5" x14ac:dyDescent="0.35">
      <c r="B317" s="43" t="s">
        <v>2190</v>
      </c>
      <c r="C317" s="44">
        <v>26056</v>
      </c>
      <c r="D317" s="43" t="s">
        <v>2191</v>
      </c>
      <c r="E317" s="43" t="s">
        <v>2192</v>
      </c>
    </row>
    <row r="318" spans="2:5" x14ac:dyDescent="0.35">
      <c r="B318" s="43" t="s">
        <v>2152</v>
      </c>
      <c r="C318" s="44">
        <v>26000</v>
      </c>
      <c r="D318" s="43" t="s">
        <v>2188</v>
      </c>
      <c r="E318" s="43" t="s">
        <v>2189</v>
      </c>
    </row>
    <row r="319" spans="2:5" x14ac:dyDescent="0.35">
      <c r="B319" s="43" t="s">
        <v>2152</v>
      </c>
      <c r="C319" s="44">
        <v>26000</v>
      </c>
      <c r="D319" s="43" t="s">
        <v>2153</v>
      </c>
      <c r="E319" s="43" t="s">
        <v>2154</v>
      </c>
    </row>
    <row r="320" spans="2:5" x14ac:dyDescent="0.35">
      <c r="B320" s="43" t="s">
        <v>55</v>
      </c>
      <c r="C320" s="44">
        <v>25750</v>
      </c>
      <c r="D320" s="43" t="s">
        <v>56</v>
      </c>
      <c r="E320" s="43" t="s">
        <v>57</v>
      </c>
    </row>
    <row r="321" spans="2:5" x14ac:dyDescent="0.35">
      <c r="B321" s="43" t="s">
        <v>2283</v>
      </c>
      <c r="C321" s="44">
        <v>25690</v>
      </c>
      <c r="D321" s="43" t="s">
        <v>2284</v>
      </c>
      <c r="E321" s="43" t="s">
        <v>2285</v>
      </c>
    </row>
    <row r="322" spans="2:5" x14ac:dyDescent="0.35">
      <c r="B322" s="43" t="s">
        <v>2193</v>
      </c>
      <c r="C322" s="44">
        <v>25510</v>
      </c>
      <c r="D322" s="43" t="s">
        <v>2194</v>
      </c>
      <c r="E322" s="43" t="s">
        <v>2195</v>
      </c>
    </row>
    <row r="323" spans="2:5" x14ac:dyDescent="0.35">
      <c r="B323" s="43" t="s">
        <v>2268</v>
      </c>
      <c r="C323" s="44">
        <v>25206</v>
      </c>
      <c r="D323" s="43" t="s">
        <v>2182</v>
      </c>
      <c r="E323" s="43" t="s">
        <v>2183</v>
      </c>
    </row>
    <row r="324" spans="2:5" x14ac:dyDescent="0.35">
      <c r="B324" s="43" t="s">
        <v>2268</v>
      </c>
      <c r="C324" s="44">
        <v>25206</v>
      </c>
      <c r="D324" s="43" t="s">
        <v>2269</v>
      </c>
      <c r="E324" s="43" t="s">
        <v>2270</v>
      </c>
    </row>
    <row r="325" spans="2:5" x14ac:dyDescent="0.35">
      <c r="B325" s="43" t="s">
        <v>2036</v>
      </c>
      <c r="C325" s="44">
        <v>25000</v>
      </c>
      <c r="D325" s="43" t="s">
        <v>2239</v>
      </c>
      <c r="E325" s="43" t="s">
        <v>2240</v>
      </c>
    </row>
    <row r="326" spans="2:5" x14ac:dyDescent="0.35">
      <c r="B326" s="43" t="s">
        <v>2271</v>
      </c>
      <c r="C326" s="44">
        <v>25000</v>
      </c>
      <c r="D326" s="43" t="s">
        <v>2272</v>
      </c>
      <c r="E326" s="43" t="s">
        <v>2273</v>
      </c>
    </row>
    <row r="327" spans="2:5" x14ac:dyDescent="0.35">
      <c r="B327" s="43" t="s">
        <v>2217</v>
      </c>
      <c r="C327" s="44">
        <v>24638</v>
      </c>
      <c r="D327" s="43" t="s">
        <v>2218</v>
      </c>
      <c r="E327" s="43" t="s">
        <v>2219</v>
      </c>
    </row>
    <row r="328" spans="2:5" x14ac:dyDescent="0.35">
      <c r="B328" s="43" t="s">
        <v>2606</v>
      </c>
      <c r="C328" s="44">
        <v>24529.96</v>
      </c>
      <c r="D328" s="43" t="s">
        <v>2607</v>
      </c>
      <c r="E328" s="43" t="s">
        <v>599</v>
      </c>
    </row>
    <row r="329" spans="2:5" x14ac:dyDescent="0.35">
      <c r="B329" s="43" t="s">
        <v>2606</v>
      </c>
      <c r="C329" s="44">
        <v>24529.96</v>
      </c>
      <c r="D329" s="43" t="s">
        <v>600</v>
      </c>
      <c r="E329" s="43" t="s">
        <v>601</v>
      </c>
    </row>
    <row r="330" spans="2:5" x14ac:dyDescent="0.35">
      <c r="B330" s="43" t="s">
        <v>650</v>
      </c>
      <c r="C330" s="44">
        <v>24000</v>
      </c>
      <c r="D330" s="43" t="s">
        <v>1448</v>
      </c>
      <c r="E330" s="43" t="s">
        <v>1449</v>
      </c>
    </row>
    <row r="331" spans="2:5" x14ac:dyDescent="0.35">
      <c r="B331" s="43" t="s">
        <v>2202</v>
      </c>
      <c r="C331" s="44">
        <v>24000</v>
      </c>
      <c r="D331" s="43" t="s">
        <v>2203</v>
      </c>
      <c r="E331" s="43" t="s">
        <v>2204</v>
      </c>
    </row>
    <row r="332" spans="2:5" x14ac:dyDescent="0.35">
      <c r="B332" s="43" t="s">
        <v>2208</v>
      </c>
      <c r="C332" s="44">
        <v>24000</v>
      </c>
      <c r="D332" s="43" t="s">
        <v>2209</v>
      </c>
      <c r="E332" s="43" t="s">
        <v>2210</v>
      </c>
    </row>
    <row r="333" spans="2:5" x14ac:dyDescent="0.35">
      <c r="B333" s="43" t="s">
        <v>2199</v>
      </c>
      <c r="C333" s="44">
        <v>24000</v>
      </c>
      <c r="D333" s="43" t="s">
        <v>2200</v>
      </c>
      <c r="E333" s="43" t="s">
        <v>2201</v>
      </c>
    </row>
    <row r="334" spans="2:5" x14ac:dyDescent="0.35">
      <c r="B334" s="43" t="s">
        <v>2220</v>
      </c>
      <c r="C334" s="44">
        <v>23592</v>
      </c>
      <c r="D334" s="43" t="s">
        <v>2221</v>
      </c>
      <c r="E334" s="43" t="s">
        <v>2222</v>
      </c>
    </row>
    <row r="335" spans="2:5" x14ac:dyDescent="0.35">
      <c r="B335" s="43" t="s">
        <v>2592</v>
      </c>
      <c r="C335" s="44">
        <v>23458</v>
      </c>
      <c r="D335" s="43" t="s">
        <v>2593</v>
      </c>
      <c r="E335" s="43" t="s">
        <v>2594</v>
      </c>
    </row>
    <row r="336" spans="2:5" x14ac:dyDescent="0.35">
      <c r="B336" s="43" t="s">
        <v>706</v>
      </c>
      <c r="C336" s="44">
        <v>23251</v>
      </c>
      <c r="D336" s="43" t="s">
        <v>707</v>
      </c>
      <c r="E336" s="43" t="s">
        <v>708</v>
      </c>
    </row>
    <row r="337" spans="2:5" x14ac:dyDescent="0.35">
      <c r="B337" s="43" t="s">
        <v>2232</v>
      </c>
      <c r="C337" s="44">
        <v>22900</v>
      </c>
      <c r="D337" s="43" t="s">
        <v>2233</v>
      </c>
      <c r="E337" s="43" t="s">
        <v>2234</v>
      </c>
    </row>
    <row r="338" spans="2:5" x14ac:dyDescent="0.35">
      <c r="B338" s="43" t="s">
        <v>625</v>
      </c>
      <c r="C338" s="44">
        <v>22660</v>
      </c>
      <c r="D338" s="43" t="s">
        <v>2006</v>
      </c>
      <c r="E338" s="43" t="s">
        <v>2007</v>
      </c>
    </row>
    <row r="339" spans="2:5" x14ac:dyDescent="0.35">
      <c r="B339" s="43" t="s">
        <v>481</v>
      </c>
      <c r="C339" s="44">
        <v>22365</v>
      </c>
      <c r="D339" s="43" t="s">
        <v>482</v>
      </c>
      <c r="E339" s="43" t="s">
        <v>483</v>
      </c>
    </row>
    <row r="340" spans="2:5" x14ac:dyDescent="0.35">
      <c r="B340" s="43" t="s">
        <v>2214</v>
      </c>
      <c r="C340" s="44">
        <v>22222</v>
      </c>
      <c r="D340" s="43" t="s">
        <v>2241</v>
      </c>
      <c r="E340" s="43" t="s">
        <v>2242</v>
      </c>
    </row>
    <row r="341" spans="2:5" x14ac:dyDescent="0.35">
      <c r="B341" s="43" t="s">
        <v>2223</v>
      </c>
      <c r="C341" s="44">
        <v>22131</v>
      </c>
      <c r="D341" s="43" t="s">
        <v>2224</v>
      </c>
      <c r="E341" s="43" t="s">
        <v>2225</v>
      </c>
    </row>
    <row r="342" spans="2:5" x14ac:dyDescent="0.35">
      <c r="B342" s="43" t="s">
        <v>2599</v>
      </c>
      <c r="C342" s="44">
        <v>22025</v>
      </c>
      <c r="D342" s="43" t="s">
        <v>2600</v>
      </c>
      <c r="E342" s="43" t="s">
        <v>2601</v>
      </c>
    </row>
    <row r="343" spans="2:5" x14ac:dyDescent="0.35">
      <c r="B343" s="43" t="s">
        <v>2092</v>
      </c>
      <c r="C343" s="44">
        <v>21917</v>
      </c>
      <c r="D343" s="43" t="s">
        <v>2093</v>
      </c>
      <c r="E343" s="43" t="s">
        <v>2094</v>
      </c>
    </row>
    <row r="344" spans="2:5" x14ac:dyDescent="0.35">
      <c r="B344" s="43" t="s">
        <v>34</v>
      </c>
      <c r="C344" s="44">
        <v>21000</v>
      </c>
      <c r="D344" s="43" t="s">
        <v>35</v>
      </c>
      <c r="E344" s="43" t="s">
        <v>36</v>
      </c>
    </row>
    <row r="345" spans="2:5" x14ac:dyDescent="0.35">
      <c r="B345" s="43" t="s">
        <v>27</v>
      </c>
      <c r="C345" s="44">
        <v>21000</v>
      </c>
      <c r="D345" s="43" t="s">
        <v>1618</v>
      </c>
      <c r="E345" s="43" t="s">
        <v>1619</v>
      </c>
    </row>
    <row r="346" spans="2:5" x14ac:dyDescent="0.35">
      <c r="B346" s="43" t="s">
        <v>2205</v>
      </c>
      <c r="C346" s="44">
        <v>20833</v>
      </c>
      <c r="D346" s="43" t="s">
        <v>2206</v>
      </c>
      <c r="E346" s="43" t="s">
        <v>2207</v>
      </c>
    </row>
    <row r="347" spans="2:5" x14ac:dyDescent="0.35">
      <c r="B347" s="43" t="s">
        <v>2187</v>
      </c>
      <c r="C347" s="44">
        <v>20607</v>
      </c>
      <c r="D347" s="43" t="s">
        <v>1642</v>
      </c>
      <c r="E347" s="43" t="s">
        <v>1643</v>
      </c>
    </row>
    <row r="348" spans="2:5" x14ac:dyDescent="0.35">
      <c r="B348" s="43" t="s">
        <v>2211</v>
      </c>
      <c r="C348" s="44">
        <v>20600</v>
      </c>
      <c r="D348" s="43" t="s">
        <v>2432</v>
      </c>
      <c r="E348" s="43" t="s">
        <v>2433</v>
      </c>
    </row>
    <row r="349" spans="2:5" x14ac:dyDescent="0.35">
      <c r="B349" s="43" t="s">
        <v>40</v>
      </c>
      <c r="C349" s="44">
        <v>20566</v>
      </c>
      <c r="D349" s="43" t="s">
        <v>1627</v>
      </c>
      <c r="E349" s="43" t="s">
        <v>1628</v>
      </c>
    </row>
    <row r="350" spans="2:5" x14ac:dyDescent="0.35">
      <c r="B350" s="43" t="s">
        <v>618</v>
      </c>
      <c r="C350" s="44">
        <v>20280</v>
      </c>
      <c r="D350" s="43" t="s">
        <v>1418</v>
      </c>
      <c r="E350" s="43" t="s">
        <v>1419</v>
      </c>
    </row>
    <row r="351" spans="2:5" x14ac:dyDescent="0.35">
      <c r="B351" s="43" t="s">
        <v>63</v>
      </c>
      <c r="C351" s="44">
        <v>20136</v>
      </c>
      <c r="D351" s="43" t="s">
        <v>64</v>
      </c>
      <c r="E351" s="43" t="s">
        <v>65</v>
      </c>
    </row>
    <row r="352" spans="2:5" x14ac:dyDescent="0.35">
      <c r="B352" s="43" t="s">
        <v>2051</v>
      </c>
      <c r="C352" s="44">
        <v>20000</v>
      </c>
      <c r="D352" s="43" t="s">
        <v>2052</v>
      </c>
      <c r="E352" s="43" t="s">
        <v>2053</v>
      </c>
    </row>
    <row r="353" spans="2:5" x14ac:dyDescent="0.35">
      <c r="B353" s="43" t="s">
        <v>74</v>
      </c>
      <c r="C353" s="44">
        <v>19500</v>
      </c>
      <c r="D353" s="43" t="s">
        <v>2295</v>
      </c>
      <c r="E353" s="43" t="s">
        <v>2296</v>
      </c>
    </row>
    <row r="354" spans="2:5" x14ac:dyDescent="0.35">
      <c r="B354" s="43" t="s">
        <v>2297</v>
      </c>
      <c r="C354" s="44">
        <v>19341</v>
      </c>
      <c r="D354" s="43" t="s">
        <v>2298</v>
      </c>
      <c r="E354" s="43" t="s">
        <v>2299</v>
      </c>
    </row>
    <row r="355" spans="2:5" x14ac:dyDescent="0.35">
      <c r="B355" s="43" t="s">
        <v>49</v>
      </c>
      <c r="C355" s="44">
        <v>19330</v>
      </c>
      <c r="D355" s="43" t="s">
        <v>50</v>
      </c>
      <c r="E355" s="43" t="s">
        <v>51</v>
      </c>
    </row>
    <row r="356" spans="2:5" x14ac:dyDescent="0.35">
      <c r="B356" s="43" t="s">
        <v>2300</v>
      </c>
      <c r="C356" s="44">
        <v>18900</v>
      </c>
      <c r="D356" s="43" t="s">
        <v>2301</v>
      </c>
      <c r="E356" s="43" t="s">
        <v>2302</v>
      </c>
    </row>
    <row r="357" spans="2:5" x14ac:dyDescent="0.35">
      <c r="B357" s="43" t="s">
        <v>627</v>
      </c>
      <c r="C357" s="44">
        <v>18750</v>
      </c>
      <c r="D357" s="43" t="s">
        <v>32</v>
      </c>
      <c r="E357" s="43" t="s">
        <v>33</v>
      </c>
    </row>
    <row r="358" spans="2:5" x14ac:dyDescent="0.35">
      <c r="B358" s="43" t="s">
        <v>2423</v>
      </c>
      <c r="C358" s="44">
        <v>18660</v>
      </c>
      <c r="D358" s="43" t="s">
        <v>2424</v>
      </c>
      <c r="E358" s="43" t="s">
        <v>2425</v>
      </c>
    </row>
    <row r="359" spans="2:5" x14ac:dyDescent="0.35">
      <c r="B359" s="43" t="s">
        <v>605</v>
      </c>
      <c r="C359" s="44">
        <v>18565</v>
      </c>
      <c r="D359" s="43" t="s">
        <v>1463</v>
      </c>
      <c r="E359" s="43" t="s">
        <v>1464</v>
      </c>
    </row>
    <row r="360" spans="2:5" x14ac:dyDescent="0.35">
      <c r="B360" s="43" t="s">
        <v>71</v>
      </c>
      <c r="C360" s="44">
        <v>18438.45</v>
      </c>
      <c r="D360" s="43" t="s">
        <v>72</v>
      </c>
      <c r="E360" s="43" t="s">
        <v>73</v>
      </c>
    </row>
    <row r="361" spans="2:5" x14ac:dyDescent="0.35">
      <c r="B361" s="43" t="s">
        <v>2309</v>
      </c>
      <c r="C361" s="44">
        <v>18308</v>
      </c>
      <c r="D361" s="43" t="s">
        <v>2310</v>
      </c>
      <c r="E361" s="43" t="s">
        <v>2311</v>
      </c>
    </row>
    <row r="362" spans="2:5" x14ac:dyDescent="0.35">
      <c r="B362" s="43" t="s">
        <v>2306</v>
      </c>
      <c r="C362" s="44">
        <v>17953.5</v>
      </c>
      <c r="D362" s="43" t="s">
        <v>2307</v>
      </c>
      <c r="E362" s="43" t="s">
        <v>2308</v>
      </c>
    </row>
    <row r="363" spans="2:5" x14ac:dyDescent="0.35">
      <c r="B363" s="43" t="s">
        <v>2365</v>
      </c>
      <c r="C363" s="44">
        <v>17523</v>
      </c>
      <c r="D363" s="43" t="s">
        <v>69</v>
      </c>
      <c r="E363" s="43" t="s">
        <v>70</v>
      </c>
    </row>
    <row r="364" spans="2:5" x14ac:dyDescent="0.35">
      <c r="B364" s="43" t="s">
        <v>2605</v>
      </c>
      <c r="C364" s="44">
        <v>16800</v>
      </c>
      <c r="D364" s="43" t="s">
        <v>2324</v>
      </c>
      <c r="E364" s="43" t="s">
        <v>2325</v>
      </c>
    </row>
    <row r="365" spans="2:5" x14ac:dyDescent="0.35">
      <c r="B365" s="43" t="s">
        <v>2318</v>
      </c>
      <c r="C365" s="44">
        <v>16723</v>
      </c>
      <c r="D365" s="43" t="s">
        <v>2319</v>
      </c>
      <c r="E365" s="43" t="s">
        <v>2320</v>
      </c>
    </row>
    <row r="366" spans="2:5" x14ac:dyDescent="0.35">
      <c r="B366" s="43" t="s">
        <v>2359</v>
      </c>
      <c r="C366" s="44">
        <v>16656</v>
      </c>
      <c r="D366" s="43" t="s">
        <v>2360</v>
      </c>
      <c r="E366" s="43" t="s">
        <v>2361</v>
      </c>
    </row>
    <row r="367" spans="2:5" x14ac:dyDescent="0.35">
      <c r="B367" s="43" t="s">
        <v>635</v>
      </c>
      <c r="C367" s="44">
        <v>16000</v>
      </c>
      <c r="D367" s="43" t="s">
        <v>47</v>
      </c>
      <c r="E367" s="43" t="s">
        <v>48</v>
      </c>
    </row>
    <row r="368" spans="2:5" x14ac:dyDescent="0.35">
      <c r="B368" s="43" t="s">
        <v>702</v>
      </c>
      <c r="C368" s="44">
        <v>15625</v>
      </c>
      <c r="D368" s="43" t="s">
        <v>2402</v>
      </c>
      <c r="E368" s="43" t="s">
        <v>2403</v>
      </c>
    </row>
    <row r="369" spans="2:5" x14ac:dyDescent="0.35">
      <c r="B369" s="43" t="s">
        <v>2331</v>
      </c>
      <c r="C369" s="44">
        <v>15500</v>
      </c>
      <c r="D369" s="43" t="s">
        <v>2332</v>
      </c>
      <c r="E369" s="43" t="s">
        <v>2333</v>
      </c>
    </row>
    <row r="370" spans="2:5" x14ac:dyDescent="0.35">
      <c r="B370" s="43" t="s">
        <v>2371</v>
      </c>
      <c r="C370" s="44">
        <v>15450</v>
      </c>
      <c r="D370" s="43" t="s">
        <v>2340</v>
      </c>
      <c r="E370" s="43" t="s">
        <v>2341</v>
      </c>
    </row>
    <row r="371" spans="2:5" x14ac:dyDescent="0.35">
      <c r="B371" s="43" t="s">
        <v>2303</v>
      </c>
      <c r="C371" s="44">
        <v>15340</v>
      </c>
      <c r="D371" s="43" t="s">
        <v>2304</v>
      </c>
      <c r="E371" s="43" t="s">
        <v>2305</v>
      </c>
    </row>
    <row r="372" spans="2:5" x14ac:dyDescent="0.35">
      <c r="B372" s="43" t="s">
        <v>2384</v>
      </c>
      <c r="C372" s="44">
        <v>15244</v>
      </c>
      <c r="D372" s="43" t="s">
        <v>2385</v>
      </c>
      <c r="E372" s="43" t="s">
        <v>2386</v>
      </c>
    </row>
    <row r="373" spans="2:5" x14ac:dyDescent="0.35">
      <c r="B373" s="43" t="s">
        <v>2326</v>
      </c>
      <c r="C373" s="44">
        <v>15000</v>
      </c>
      <c r="D373" s="43" t="s">
        <v>2327</v>
      </c>
      <c r="E373" s="43" t="s">
        <v>2328</v>
      </c>
    </row>
    <row r="374" spans="2:5" x14ac:dyDescent="0.35">
      <c r="B374" s="43" t="s">
        <v>606</v>
      </c>
      <c r="C374" s="44">
        <v>15000</v>
      </c>
      <c r="D374" s="43" t="s">
        <v>2212</v>
      </c>
      <c r="E374" s="43" t="s">
        <v>2213</v>
      </c>
    </row>
    <row r="375" spans="2:5" x14ac:dyDescent="0.35">
      <c r="B375" s="43" t="s">
        <v>2582</v>
      </c>
      <c r="C375" s="44">
        <v>14800</v>
      </c>
      <c r="D375" s="43" t="s">
        <v>2144</v>
      </c>
      <c r="E375" s="43" t="s">
        <v>2145</v>
      </c>
    </row>
    <row r="376" spans="2:5" x14ac:dyDescent="0.35">
      <c r="B376" s="43" t="s">
        <v>2372</v>
      </c>
      <c r="C376" s="44">
        <v>14712</v>
      </c>
      <c r="D376" s="43" t="s">
        <v>2373</v>
      </c>
      <c r="E376" s="43" t="s">
        <v>2374</v>
      </c>
    </row>
    <row r="377" spans="2:5" x14ac:dyDescent="0.35">
      <c r="B377" s="43" t="s">
        <v>2355</v>
      </c>
      <c r="C377" s="44">
        <v>14500</v>
      </c>
      <c r="D377" s="43" t="s">
        <v>2356</v>
      </c>
      <c r="E377" s="43" t="s">
        <v>2357</v>
      </c>
    </row>
    <row r="378" spans="2:5" x14ac:dyDescent="0.35">
      <c r="B378" s="43" t="s">
        <v>2342</v>
      </c>
      <c r="C378" s="44">
        <v>14420</v>
      </c>
      <c r="D378" s="43" t="s">
        <v>2343</v>
      </c>
      <c r="E378" s="43" t="s">
        <v>2344</v>
      </c>
    </row>
    <row r="379" spans="2:5" x14ac:dyDescent="0.35">
      <c r="B379" s="43" t="s">
        <v>2342</v>
      </c>
      <c r="C379" s="44">
        <v>14420</v>
      </c>
      <c r="D379" s="43" t="s">
        <v>2345</v>
      </c>
      <c r="E379" s="43" t="s">
        <v>2346</v>
      </c>
    </row>
    <row r="380" spans="2:5" x14ac:dyDescent="0.35">
      <c r="B380" s="43" t="s">
        <v>2358</v>
      </c>
      <c r="C380" s="44">
        <v>14377</v>
      </c>
      <c r="D380" s="43" t="s">
        <v>1508</v>
      </c>
      <c r="E380" s="43" t="s">
        <v>1509</v>
      </c>
    </row>
    <row r="381" spans="2:5" x14ac:dyDescent="0.35">
      <c r="B381" s="43" t="s">
        <v>2420</v>
      </c>
      <c r="C381" s="44">
        <v>14332</v>
      </c>
      <c r="D381" s="43" t="s">
        <v>2421</v>
      </c>
      <c r="E381" s="43" t="s">
        <v>2422</v>
      </c>
    </row>
    <row r="382" spans="2:5" x14ac:dyDescent="0.35">
      <c r="B382" s="43" t="s">
        <v>2378</v>
      </c>
      <c r="C382" s="44">
        <v>14171</v>
      </c>
      <c r="D382" s="43" t="s">
        <v>2379</v>
      </c>
      <c r="E382" s="43" t="s">
        <v>2380</v>
      </c>
    </row>
    <row r="383" spans="2:5" x14ac:dyDescent="0.35">
      <c r="B383" s="43" t="s">
        <v>667</v>
      </c>
      <c r="C383" s="44">
        <v>14100</v>
      </c>
      <c r="D383" s="43" t="s">
        <v>668</v>
      </c>
      <c r="E383" s="43" t="s">
        <v>669</v>
      </c>
    </row>
    <row r="384" spans="2:5" x14ac:dyDescent="0.35">
      <c r="B384" s="43" t="s">
        <v>2375</v>
      </c>
      <c r="C384" s="44">
        <v>13900</v>
      </c>
      <c r="D384" s="43" t="s">
        <v>2376</v>
      </c>
      <c r="E384" s="43" t="s">
        <v>2377</v>
      </c>
    </row>
    <row r="385" spans="2:5" x14ac:dyDescent="0.35">
      <c r="B385" s="43" t="s">
        <v>663</v>
      </c>
      <c r="C385" s="44">
        <v>13400</v>
      </c>
      <c r="D385" s="43" t="s">
        <v>2366</v>
      </c>
      <c r="E385" s="43" t="s">
        <v>2367</v>
      </c>
    </row>
    <row r="386" spans="2:5" x14ac:dyDescent="0.35">
      <c r="B386" s="43" t="s">
        <v>721</v>
      </c>
      <c r="C386" s="44">
        <v>13250</v>
      </c>
      <c r="D386" s="43" t="s">
        <v>722</v>
      </c>
      <c r="E386" s="43" t="s">
        <v>723</v>
      </c>
    </row>
    <row r="387" spans="2:5" x14ac:dyDescent="0.35">
      <c r="B387" s="43" t="s">
        <v>2404</v>
      </c>
      <c r="C387" s="44">
        <v>13000</v>
      </c>
      <c r="D387" s="43" t="s">
        <v>2405</v>
      </c>
      <c r="E387" s="43" t="s">
        <v>2406</v>
      </c>
    </row>
    <row r="388" spans="2:5" x14ac:dyDescent="0.35">
      <c r="B388" s="43" t="s">
        <v>632</v>
      </c>
      <c r="C388" s="44">
        <v>12734</v>
      </c>
      <c r="D388" s="43" t="s">
        <v>2410</v>
      </c>
      <c r="E388" s="43" t="s">
        <v>2411</v>
      </c>
    </row>
    <row r="389" spans="2:5" x14ac:dyDescent="0.35">
      <c r="B389" s="43" t="s">
        <v>2596</v>
      </c>
      <c r="C389" s="44">
        <v>12500</v>
      </c>
      <c r="D389" s="43" t="s">
        <v>2597</v>
      </c>
      <c r="E389" s="43" t="s">
        <v>2598</v>
      </c>
    </row>
    <row r="390" spans="2:5" x14ac:dyDescent="0.35">
      <c r="B390" s="43" t="s">
        <v>2404</v>
      </c>
      <c r="C390" s="44">
        <v>12000</v>
      </c>
      <c r="D390" s="43" t="s">
        <v>2415</v>
      </c>
      <c r="E390" s="43" t="s">
        <v>2416</v>
      </c>
    </row>
    <row r="391" spans="2:5" x14ac:dyDescent="0.35">
      <c r="B391" s="43" t="s">
        <v>633</v>
      </c>
      <c r="C391" s="44">
        <v>12000</v>
      </c>
      <c r="D391" s="43" t="s">
        <v>1531</v>
      </c>
      <c r="E391" s="43" t="s">
        <v>1532</v>
      </c>
    </row>
    <row r="392" spans="2:5" x14ac:dyDescent="0.35">
      <c r="B392" s="43" t="s">
        <v>697</v>
      </c>
      <c r="C392" s="44">
        <v>11948</v>
      </c>
      <c r="D392" s="43" t="s">
        <v>698</v>
      </c>
      <c r="E392" s="43" t="s">
        <v>699</v>
      </c>
    </row>
    <row r="393" spans="2:5" x14ac:dyDescent="0.35">
      <c r="B393" s="43" t="s">
        <v>2417</v>
      </c>
      <c r="C393" s="44">
        <v>11880</v>
      </c>
      <c r="D393" s="43" t="s">
        <v>2418</v>
      </c>
      <c r="E393" s="43" t="s">
        <v>2419</v>
      </c>
    </row>
    <row r="394" spans="2:5" x14ac:dyDescent="0.35">
      <c r="B394" s="43" t="s">
        <v>2408</v>
      </c>
      <c r="C394" s="44">
        <v>11634</v>
      </c>
      <c r="D394" s="43" t="s">
        <v>1567</v>
      </c>
      <c r="E394" s="43" t="s">
        <v>1568</v>
      </c>
    </row>
    <row r="395" spans="2:5" x14ac:dyDescent="0.35">
      <c r="B395" s="43" t="s">
        <v>2426</v>
      </c>
      <c r="C395" s="44">
        <v>11032</v>
      </c>
      <c r="D395" s="43" t="s">
        <v>2427</v>
      </c>
      <c r="E395" s="43" t="s">
        <v>2428</v>
      </c>
    </row>
    <row r="396" spans="2:5" x14ac:dyDescent="0.35">
      <c r="B396" s="43" t="s">
        <v>2429</v>
      </c>
      <c r="C396" s="44">
        <v>10200</v>
      </c>
      <c r="D396" s="43" t="s">
        <v>2430</v>
      </c>
      <c r="E396" s="43" t="s">
        <v>2431</v>
      </c>
    </row>
    <row r="397" spans="2:5" x14ac:dyDescent="0.35">
      <c r="B397" s="43" t="s">
        <v>2434</v>
      </c>
      <c r="C397" s="44">
        <v>9214.9599999999991</v>
      </c>
      <c r="D397" s="43" t="s">
        <v>2435</v>
      </c>
      <c r="E397" s="43" t="s">
        <v>2436</v>
      </c>
    </row>
    <row r="398" spans="2:5" x14ac:dyDescent="0.35">
      <c r="B398" s="43" t="s">
        <v>2471</v>
      </c>
      <c r="C398" s="44">
        <v>7800</v>
      </c>
      <c r="D398" s="43" t="s">
        <v>2472</v>
      </c>
      <c r="E398" s="43" t="s">
        <v>2473</v>
      </c>
    </row>
    <row r="399" spans="2:5" x14ac:dyDescent="0.35">
      <c r="B399" s="43" t="s">
        <v>2445</v>
      </c>
      <c r="C399" s="44">
        <v>7800</v>
      </c>
      <c r="D399" s="43" t="s">
        <v>2446</v>
      </c>
      <c r="E399" s="43" t="s">
        <v>2447</v>
      </c>
    </row>
    <row r="400" spans="2:5" x14ac:dyDescent="0.35">
      <c r="B400" s="43" t="s">
        <v>2492</v>
      </c>
      <c r="C400" s="44">
        <v>7590</v>
      </c>
      <c r="D400" s="43" t="s">
        <v>2493</v>
      </c>
      <c r="E400" s="43" t="s">
        <v>2494</v>
      </c>
    </row>
    <row r="401" spans="2:5" x14ac:dyDescent="0.35">
      <c r="B401" s="43" t="s">
        <v>2375</v>
      </c>
      <c r="C401" s="44">
        <v>7400</v>
      </c>
      <c r="D401" s="43" t="s">
        <v>2453</v>
      </c>
      <c r="E401" s="43" t="s">
        <v>2454</v>
      </c>
    </row>
    <row r="402" spans="2:5" x14ac:dyDescent="0.35">
      <c r="B402" s="43" t="s">
        <v>2487</v>
      </c>
      <c r="C402" s="44">
        <v>6000</v>
      </c>
      <c r="D402" s="43" t="s">
        <v>2488</v>
      </c>
      <c r="E402" s="43" t="s">
        <v>2489</v>
      </c>
    </row>
    <row r="403" spans="2:5" x14ac:dyDescent="0.35">
      <c r="B403" s="43" t="s">
        <v>2482</v>
      </c>
      <c r="C403" s="44">
        <v>5980</v>
      </c>
      <c r="D403" s="43" t="s">
        <v>2485</v>
      </c>
      <c r="E403" s="43" t="s">
        <v>2486</v>
      </c>
    </row>
    <row r="404" spans="2:5" x14ac:dyDescent="0.35">
      <c r="B404" s="43" t="s">
        <v>2474</v>
      </c>
      <c r="C404" s="44">
        <v>5775</v>
      </c>
      <c r="D404" s="43" t="s">
        <v>2475</v>
      </c>
      <c r="E404" s="43" t="s">
        <v>2476</v>
      </c>
    </row>
    <row r="405" spans="2:5" x14ac:dyDescent="0.35">
      <c r="B405" s="43" t="s">
        <v>2479</v>
      </c>
      <c r="C405" s="44">
        <v>5200</v>
      </c>
      <c r="D405" s="43" t="s">
        <v>2480</v>
      </c>
      <c r="E405" s="43" t="s">
        <v>2481</v>
      </c>
    </row>
    <row r="406" spans="2:5" x14ac:dyDescent="0.35">
      <c r="B406" s="43" t="s">
        <v>606</v>
      </c>
      <c r="C406" s="44">
        <v>5000</v>
      </c>
      <c r="D406" s="43" t="s">
        <v>2477</v>
      </c>
      <c r="E406" s="43" t="s">
        <v>2478</v>
      </c>
    </row>
    <row r="407" spans="2:5" x14ac:dyDescent="0.35">
      <c r="B407" s="43" t="s">
        <v>2479</v>
      </c>
      <c r="C407" s="44">
        <v>4704</v>
      </c>
      <c r="D407" s="43" t="s">
        <v>2490</v>
      </c>
      <c r="E407" s="43" t="s">
        <v>2491</v>
      </c>
    </row>
    <row r="408" spans="2:5" x14ac:dyDescent="0.35">
      <c r="B408" s="43" t="s">
        <v>2439</v>
      </c>
      <c r="C408" s="45">
        <v>4522</v>
      </c>
      <c r="D408" s="43" t="s">
        <v>2440</v>
      </c>
      <c r="E408" s="43" t="s">
        <v>2441</v>
      </c>
    </row>
    <row r="409" spans="2:5" x14ac:dyDescent="0.35">
      <c r="B409" s="43" t="s">
        <v>2439</v>
      </c>
      <c r="C409" s="45">
        <v>4450</v>
      </c>
      <c r="D409" s="43" t="s">
        <v>664</v>
      </c>
      <c r="E409" s="43" t="s">
        <v>665</v>
      </c>
    </row>
    <row r="410" spans="2:5" x14ac:dyDescent="0.35">
      <c r="B410" s="43" t="s">
        <v>2503</v>
      </c>
      <c r="C410" s="44">
        <v>0</v>
      </c>
      <c r="D410" s="43" t="s">
        <v>2504</v>
      </c>
      <c r="E410" s="43" t="s">
        <v>2505</v>
      </c>
    </row>
    <row r="411" spans="2:5" x14ac:dyDescent="0.35">
      <c r="B411" s="43" t="s">
        <v>2497</v>
      </c>
      <c r="C411" s="44">
        <v>0</v>
      </c>
      <c r="D411" s="43" t="s">
        <v>2498</v>
      </c>
      <c r="E411" s="43" t="s">
        <v>2499</v>
      </c>
    </row>
  </sheetData>
  <phoneticPr fontId="0"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8"/>
  <sheetViews>
    <sheetView workbookViewId="0"/>
  </sheetViews>
  <sheetFormatPr defaultRowHeight="12.4" x14ac:dyDescent="0.35"/>
  <cols>
    <col min="2" max="2" width="59.85546875" bestFit="1" customWidth="1"/>
    <col min="3" max="3" width="12" customWidth="1"/>
    <col min="4" max="6" width="11.85546875" bestFit="1" customWidth="1"/>
  </cols>
  <sheetData>
    <row r="1" spans="1:6" ht="17.649999999999999" x14ac:dyDescent="0.5">
      <c r="A1" s="24" t="s">
        <v>1383</v>
      </c>
      <c r="B1" s="8"/>
      <c r="C1" s="8"/>
      <c r="D1" s="8"/>
      <c r="E1" s="8"/>
      <c r="F1" s="8"/>
    </row>
    <row r="2" spans="1:6" ht="17.649999999999999" x14ac:dyDescent="0.5">
      <c r="A2" s="24" t="s">
        <v>741</v>
      </c>
      <c r="B2" s="8"/>
      <c r="C2" s="8"/>
      <c r="D2" s="8"/>
      <c r="E2" s="8"/>
      <c r="F2" s="8"/>
    </row>
    <row r="3" spans="1:6" ht="15" x14ac:dyDescent="0.4">
      <c r="A3" s="8"/>
      <c r="B3" s="8"/>
      <c r="C3" s="6">
        <v>2007</v>
      </c>
      <c r="D3" s="6">
        <v>2007</v>
      </c>
      <c r="E3" s="6">
        <v>2008</v>
      </c>
      <c r="F3" s="6">
        <v>2009</v>
      </c>
    </row>
    <row r="4" spans="1:6" ht="15" x14ac:dyDescent="0.4">
      <c r="A4" s="8"/>
      <c r="B4" s="8"/>
      <c r="C4" s="6" t="s">
        <v>1384</v>
      </c>
      <c r="D4" s="6" t="s">
        <v>2506</v>
      </c>
      <c r="E4" s="6" t="s">
        <v>1384</v>
      </c>
      <c r="F4" s="6" t="s">
        <v>1384</v>
      </c>
    </row>
    <row r="5" spans="1:6" ht="12.75" x14ac:dyDescent="0.35">
      <c r="A5" s="8"/>
      <c r="B5" s="8"/>
      <c r="C5" s="8"/>
      <c r="D5" s="8"/>
      <c r="E5" s="8"/>
      <c r="F5" s="8"/>
    </row>
    <row r="6" spans="1:6" ht="13.15" x14ac:dyDescent="0.4">
      <c r="A6" s="5" t="s">
        <v>2507</v>
      </c>
      <c r="B6" s="8"/>
      <c r="C6" s="54">
        <f>+C13</f>
        <v>15875</v>
      </c>
      <c r="D6" s="54">
        <f>+D13</f>
        <v>17116</v>
      </c>
      <c r="E6" s="54">
        <f>+E13</f>
        <v>15875</v>
      </c>
      <c r="F6" s="54">
        <f>+F13</f>
        <v>15875</v>
      </c>
    </row>
    <row r="7" spans="1:6" ht="12.75" x14ac:dyDescent="0.35">
      <c r="A7" s="8"/>
      <c r="B7" s="8"/>
      <c r="C7" s="54"/>
      <c r="D7" s="54"/>
      <c r="E7" s="54"/>
      <c r="F7" s="54"/>
    </row>
    <row r="8" spans="1:6" ht="13.15" x14ac:dyDescent="0.4">
      <c r="A8" s="8"/>
      <c r="B8" s="11" t="s">
        <v>2508</v>
      </c>
      <c r="C8" s="55"/>
      <c r="D8" s="13"/>
      <c r="E8" s="55"/>
      <c r="F8" s="55"/>
    </row>
    <row r="9" spans="1:6" ht="12.75" x14ac:dyDescent="0.35">
      <c r="A9" s="8"/>
      <c r="B9" s="56" t="s">
        <v>2509</v>
      </c>
      <c r="C9" s="57">
        <v>7000</v>
      </c>
      <c r="D9" s="58">
        <v>11807</v>
      </c>
      <c r="E9" s="57">
        <v>7000</v>
      </c>
      <c r="F9" s="57">
        <v>7000</v>
      </c>
    </row>
    <row r="10" spans="1:6" ht="12.75" x14ac:dyDescent="0.35">
      <c r="A10" s="8"/>
      <c r="B10" s="56" t="s">
        <v>2510</v>
      </c>
      <c r="C10" s="57">
        <f>530+70</f>
        <v>600</v>
      </c>
      <c r="D10" s="58"/>
      <c r="E10" s="57">
        <f>530+70</f>
        <v>600</v>
      </c>
      <c r="F10" s="57">
        <f>530+70</f>
        <v>600</v>
      </c>
    </row>
    <row r="11" spans="1:6" ht="12.75" x14ac:dyDescent="0.35">
      <c r="A11" s="8"/>
      <c r="B11" s="56" t="s">
        <v>2511</v>
      </c>
      <c r="C11" s="57">
        <v>8275</v>
      </c>
      <c r="D11" s="58">
        <v>2902</v>
      </c>
      <c r="E11" s="57">
        <v>8275</v>
      </c>
      <c r="F11" s="57">
        <v>8275</v>
      </c>
    </row>
    <row r="12" spans="1:6" ht="12.75" x14ac:dyDescent="0.35">
      <c r="A12" s="8"/>
      <c r="B12" s="56" t="s">
        <v>2512</v>
      </c>
      <c r="C12" s="57"/>
      <c r="D12" s="58">
        <f>1113+18+1276</f>
        <v>2407</v>
      </c>
      <c r="E12" s="57"/>
      <c r="F12" s="57"/>
    </row>
    <row r="13" spans="1:6" ht="12.75" x14ac:dyDescent="0.35">
      <c r="A13" s="8"/>
      <c r="B13" s="59" t="s">
        <v>2513</v>
      </c>
      <c r="C13" s="19">
        <f>SUM(C9:C11)</f>
        <v>15875</v>
      </c>
      <c r="D13" s="60">
        <f>SUM(D9:D12)</f>
        <v>17116</v>
      </c>
      <c r="E13" s="19">
        <f>SUM(E9:E11)</f>
        <v>15875</v>
      </c>
      <c r="F13" s="19">
        <f>SUM(F9:F11)</f>
        <v>15875</v>
      </c>
    </row>
    <row r="14" spans="1:6" ht="12.75" x14ac:dyDescent="0.35">
      <c r="A14" s="8"/>
      <c r="B14" s="8"/>
      <c r="C14" s="54"/>
      <c r="D14" s="54"/>
      <c r="E14" s="54"/>
      <c r="F14" s="54"/>
    </row>
    <row r="15" spans="1:6" ht="13.15" x14ac:dyDescent="0.4">
      <c r="A15" s="5" t="s">
        <v>2514</v>
      </c>
      <c r="B15" s="8"/>
      <c r="C15" s="54">
        <v>465</v>
      </c>
      <c r="D15" s="54">
        <v>279</v>
      </c>
      <c r="E15" s="54">
        <v>465</v>
      </c>
      <c r="F15" s="54">
        <v>465</v>
      </c>
    </row>
    <row r="16" spans="1:6" ht="12.75" x14ac:dyDescent="0.35">
      <c r="A16" s="8"/>
      <c r="B16" s="8"/>
      <c r="C16" s="54"/>
      <c r="D16" s="54"/>
      <c r="E16" s="54"/>
      <c r="F16" s="54"/>
    </row>
    <row r="17" spans="1:6" ht="13.15" x14ac:dyDescent="0.4">
      <c r="A17" s="5" t="s">
        <v>2515</v>
      </c>
      <c r="B17" s="8"/>
      <c r="C17" s="54">
        <v>20230</v>
      </c>
      <c r="D17" s="54">
        <v>7126</v>
      </c>
      <c r="E17" s="54">
        <f>23250-3020</f>
        <v>20230</v>
      </c>
      <c r="F17" s="54">
        <f>23250-3020</f>
        <v>20230</v>
      </c>
    </row>
    <row r="18" spans="1:6" ht="13.15" x14ac:dyDescent="0.4">
      <c r="A18" s="5"/>
      <c r="B18" s="8"/>
      <c r="C18" s="54"/>
      <c r="D18" s="54"/>
      <c r="E18" s="54"/>
      <c r="F18" s="54"/>
    </row>
    <row r="19" spans="1:6" ht="13.15" x14ac:dyDescent="0.4">
      <c r="A19" s="5" t="s">
        <v>2516</v>
      </c>
      <c r="B19" s="8"/>
      <c r="C19" s="54">
        <v>930</v>
      </c>
      <c r="D19" s="54"/>
      <c r="E19" s="54">
        <v>930</v>
      </c>
      <c r="F19" s="54">
        <v>930</v>
      </c>
    </row>
    <row r="20" spans="1:6" ht="12.75" x14ac:dyDescent="0.35">
      <c r="A20" s="8"/>
      <c r="B20" s="8"/>
      <c r="C20" s="54"/>
      <c r="D20" s="54"/>
      <c r="E20" s="54"/>
      <c r="F20" s="54"/>
    </row>
    <row r="21" spans="1:6" ht="13.15" x14ac:dyDescent="0.4">
      <c r="A21" s="5" t="s">
        <v>2517</v>
      </c>
      <c r="B21" s="8"/>
      <c r="C21" s="18">
        <f>+C19+C17+C15+C6</f>
        <v>37500</v>
      </c>
      <c r="D21" s="18">
        <f>+D19+D17+D15+D6</f>
        <v>24521</v>
      </c>
      <c r="E21" s="18">
        <f>+E19+E17+E15+E6</f>
        <v>37500</v>
      </c>
      <c r="F21" s="18">
        <f>+F19+F17+F15+F6</f>
        <v>37500</v>
      </c>
    </row>
    <row r="22" spans="1:6" ht="12.75" x14ac:dyDescent="0.35">
      <c r="A22" s="8"/>
      <c r="B22" s="8"/>
      <c r="C22" s="54"/>
      <c r="D22" s="54"/>
      <c r="E22" s="54"/>
      <c r="F22" s="54"/>
    </row>
    <row r="23" spans="1:6" ht="13.15" x14ac:dyDescent="0.4">
      <c r="A23" s="5" t="s">
        <v>2518</v>
      </c>
      <c r="B23" s="8"/>
      <c r="C23" s="54"/>
      <c r="D23" s="54"/>
      <c r="E23" s="54"/>
      <c r="F23" s="54"/>
    </row>
    <row r="24" spans="1:6" ht="12.75" x14ac:dyDescent="0.35">
      <c r="A24" s="8"/>
      <c r="B24" s="8"/>
      <c r="C24" s="54"/>
      <c r="D24" s="54"/>
      <c r="E24" s="54"/>
      <c r="F24" s="54"/>
    </row>
    <row r="25" spans="1:6" ht="13.15" x14ac:dyDescent="0.4">
      <c r="A25" s="5" t="s">
        <v>2519</v>
      </c>
      <c r="B25" s="8"/>
      <c r="C25" s="54">
        <f>+C40</f>
        <v>85000</v>
      </c>
      <c r="D25" s="54">
        <f>+D40</f>
        <v>85000</v>
      </c>
      <c r="E25" s="54">
        <f>+E40</f>
        <v>85000</v>
      </c>
      <c r="F25" s="54">
        <f>+F40</f>
        <v>85000</v>
      </c>
    </row>
    <row r="26" spans="1:6" ht="12.75" x14ac:dyDescent="0.35">
      <c r="A26" s="8"/>
      <c r="B26" s="8"/>
      <c r="C26" s="54"/>
      <c r="D26" s="54"/>
      <c r="E26" s="54"/>
      <c r="F26" s="54"/>
    </row>
    <row r="27" spans="1:6" ht="13.15" x14ac:dyDescent="0.4">
      <c r="A27" s="8"/>
      <c r="B27" s="11" t="s">
        <v>2520</v>
      </c>
      <c r="C27" s="55"/>
      <c r="D27" s="13"/>
      <c r="E27" s="55"/>
      <c r="F27" s="55"/>
    </row>
    <row r="28" spans="1:6" ht="12.75" x14ac:dyDescent="0.35">
      <c r="A28" s="8"/>
      <c r="B28" s="56" t="s">
        <v>2521</v>
      </c>
      <c r="C28" s="57"/>
      <c r="D28" s="58"/>
      <c r="E28" s="57"/>
      <c r="F28" s="57"/>
    </row>
    <row r="29" spans="1:6" ht="12.75" x14ac:dyDescent="0.35">
      <c r="A29" s="8"/>
      <c r="B29" s="56" t="s">
        <v>2522</v>
      </c>
      <c r="C29" s="57">
        <v>7000</v>
      </c>
      <c r="D29" s="58">
        <v>13311</v>
      </c>
      <c r="E29" s="57">
        <v>7000</v>
      </c>
      <c r="F29" s="57">
        <v>7000</v>
      </c>
    </row>
    <row r="30" spans="1:6" ht="12.75" x14ac:dyDescent="0.35">
      <c r="A30" s="8"/>
      <c r="B30" s="56" t="s">
        <v>2523</v>
      </c>
      <c r="C30" s="57">
        <v>450</v>
      </c>
      <c r="D30" s="58"/>
      <c r="E30" s="57">
        <v>450</v>
      </c>
      <c r="F30" s="57">
        <v>450</v>
      </c>
    </row>
    <row r="31" spans="1:6" ht="12.75" x14ac:dyDescent="0.35">
      <c r="A31" s="8"/>
      <c r="B31" s="56" t="s">
        <v>2524</v>
      </c>
      <c r="C31" s="57"/>
      <c r="D31" s="58"/>
      <c r="E31" s="57"/>
      <c r="F31" s="57"/>
    </row>
    <row r="32" spans="1:6" ht="12.75" x14ac:dyDescent="0.35">
      <c r="A32" s="8"/>
      <c r="B32" s="56" t="s">
        <v>2525</v>
      </c>
      <c r="C32" s="57">
        <v>40000</v>
      </c>
      <c r="D32" s="58">
        <f>9782+32000</f>
        <v>41782</v>
      </c>
      <c r="E32" s="57">
        <v>40000</v>
      </c>
      <c r="F32" s="57">
        <v>40000</v>
      </c>
    </row>
    <row r="33" spans="1:6" ht="12.75" x14ac:dyDescent="0.35">
      <c r="A33" s="8"/>
      <c r="B33" s="56" t="s">
        <v>2526</v>
      </c>
      <c r="C33" s="57">
        <v>10000</v>
      </c>
      <c r="D33" s="58">
        <f>55000-12909-32000</f>
        <v>10091</v>
      </c>
      <c r="E33" s="57">
        <v>10000</v>
      </c>
      <c r="F33" s="57">
        <v>10000</v>
      </c>
    </row>
    <row r="34" spans="1:6" ht="12.75" x14ac:dyDescent="0.35">
      <c r="A34" s="8"/>
      <c r="B34" s="56" t="s">
        <v>2527</v>
      </c>
      <c r="C34" s="57">
        <v>7000</v>
      </c>
      <c r="D34" s="58">
        <f>1600+4326</f>
        <v>5926</v>
      </c>
      <c r="E34" s="57">
        <v>7000</v>
      </c>
      <c r="F34" s="57">
        <v>7000</v>
      </c>
    </row>
    <row r="35" spans="1:6" ht="12.75" x14ac:dyDescent="0.35">
      <c r="A35" s="8"/>
      <c r="B35" s="56" t="s">
        <v>2528</v>
      </c>
      <c r="C35" s="57">
        <v>5000</v>
      </c>
      <c r="D35" s="58">
        <v>6130</v>
      </c>
      <c r="E35" s="57">
        <v>5000</v>
      </c>
      <c r="F35" s="57">
        <v>5000</v>
      </c>
    </row>
    <row r="36" spans="1:6" ht="12.75" x14ac:dyDescent="0.35">
      <c r="A36" s="8"/>
      <c r="B36" s="56" t="s">
        <v>2529</v>
      </c>
      <c r="C36" s="57">
        <v>3550</v>
      </c>
      <c r="D36" s="58">
        <f>2300+449+914</f>
        <v>3663</v>
      </c>
      <c r="E36" s="57">
        <v>3550</v>
      </c>
      <c r="F36" s="57">
        <v>3550</v>
      </c>
    </row>
    <row r="37" spans="1:6" ht="12.75" x14ac:dyDescent="0.35">
      <c r="A37" s="8"/>
      <c r="B37" s="56" t="s">
        <v>2530</v>
      </c>
      <c r="C37" s="57"/>
      <c r="D37" s="58"/>
      <c r="E37" s="57"/>
      <c r="F37" s="57"/>
    </row>
    <row r="38" spans="1:6" ht="12.75" x14ac:dyDescent="0.35">
      <c r="A38" s="8"/>
      <c r="B38" s="56" t="s">
        <v>2531</v>
      </c>
      <c r="C38" s="57">
        <v>12000</v>
      </c>
      <c r="D38" s="58">
        <v>4097</v>
      </c>
      <c r="E38" s="57">
        <v>12000</v>
      </c>
      <c r="F38" s="57">
        <v>12000</v>
      </c>
    </row>
    <row r="39" spans="1:6" ht="12.75" x14ac:dyDescent="0.35">
      <c r="A39" s="8"/>
      <c r="B39" s="56" t="s">
        <v>2532</v>
      </c>
      <c r="C39" s="57">
        <f>SUM(C29:C38)</f>
        <v>85000</v>
      </c>
      <c r="D39" s="58">
        <f>SUM(D29:D38)</f>
        <v>85000</v>
      </c>
      <c r="E39" s="57">
        <f>SUM(E29:E38)</f>
        <v>85000</v>
      </c>
      <c r="F39" s="57">
        <f>SUM(F29:F38)</f>
        <v>85000</v>
      </c>
    </row>
    <row r="40" spans="1:6" ht="12.75" x14ac:dyDescent="0.35">
      <c r="A40" s="8"/>
      <c r="B40" s="59" t="s">
        <v>2513</v>
      </c>
      <c r="C40" s="19">
        <f>SUM(C39:C39)</f>
        <v>85000</v>
      </c>
      <c r="D40" s="60">
        <f>SUM(D39:D39)</f>
        <v>85000</v>
      </c>
      <c r="E40" s="19">
        <f>SUM(E39:E39)</f>
        <v>85000</v>
      </c>
      <c r="F40" s="19">
        <f>SUM(F39:F39)</f>
        <v>85000</v>
      </c>
    </row>
    <row r="41" spans="1:6" ht="12.75" x14ac:dyDescent="0.35">
      <c r="A41" s="8"/>
      <c r="B41" s="8"/>
      <c r="C41" s="54"/>
      <c r="D41" s="54"/>
      <c r="E41" s="54"/>
      <c r="F41" s="54"/>
    </row>
    <row r="42" spans="1:6" ht="12.75" x14ac:dyDescent="0.35">
      <c r="A42" s="8"/>
      <c r="B42" s="8"/>
      <c r="C42" s="54"/>
      <c r="D42" s="54"/>
      <c r="E42" s="54"/>
      <c r="F42" s="54"/>
    </row>
    <row r="43" spans="1:6" ht="13.15" x14ac:dyDescent="0.4">
      <c r="A43" s="5" t="s">
        <v>733</v>
      </c>
      <c r="B43" s="8"/>
      <c r="C43" s="54">
        <v>110000</v>
      </c>
      <c r="D43" s="54">
        <v>110000</v>
      </c>
      <c r="E43" s="54">
        <f>110000+30000</f>
        <v>140000</v>
      </c>
      <c r="F43" s="54">
        <v>140000</v>
      </c>
    </row>
    <row r="44" spans="1:6" ht="12.75" x14ac:dyDescent="0.35">
      <c r="A44" s="8"/>
      <c r="B44" s="8"/>
      <c r="C44" s="54"/>
      <c r="D44" s="54"/>
      <c r="E44" s="54"/>
      <c r="F44" s="54"/>
    </row>
    <row r="45" spans="1:6" ht="13.15" x14ac:dyDescent="0.4">
      <c r="A45" s="5" t="s">
        <v>734</v>
      </c>
      <c r="B45" s="8"/>
      <c r="C45" s="54">
        <v>5000</v>
      </c>
      <c r="D45" s="54">
        <v>1603</v>
      </c>
      <c r="E45" s="54">
        <v>5000</v>
      </c>
      <c r="F45" s="54">
        <v>5000</v>
      </c>
    </row>
    <row r="46" spans="1:6" ht="13.15" x14ac:dyDescent="0.4">
      <c r="A46" s="5"/>
      <c r="B46" s="8"/>
      <c r="C46" s="54"/>
      <c r="D46" s="54"/>
      <c r="E46" s="54"/>
      <c r="F46" s="54"/>
    </row>
    <row r="47" spans="1:6" ht="13.15" x14ac:dyDescent="0.4">
      <c r="A47" s="5" t="s">
        <v>2536</v>
      </c>
      <c r="B47" s="8"/>
      <c r="C47" s="18">
        <f>+C45+C43+C25</f>
        <v>200000</v>
      </c>
      <c r="D47" s="18">
        <f>+D45+D43+D25</f>
        <v>196603</v>
      </c>
      <c r="E47" s="18">
        <f>+E45+E43+E25</f>
        <v>230000</v>
      </c>
      <c r="F47" s="18">
        <f>+F45+F43+F25</f>
        <v>230000</v>
      </c>
    </row>
    <row r="48" spans="1:6" ht="12.75" x14ac:dyDescent="0.35">
      <c r="A48" s="8"/>
      <c r="B48" s="8"/>
      <c r="C48" s="54"/>
      <c r="D48" s="54"/>
      <c r="E48" s="54"/>
      <c r="F48" s="54"/>
    </row>
    <row r="49" spans="1:6" ht="13.15" x14ac:dyDescent="0.4">
      <c r="A49" s="5" t="s">
        <v>2537</v>
      </c>
      <c r="B49" s="8"/>
      <c r="C49" s="8"/>
      <c r="D49" s="8"/>
      <c r="E49" s="8"/>
      <c r="F49" s="8"/>
    </row>
    <row r="50" spans="1:6" ht="12.75" x14ac:dyDescent="0.35">
      <c r="A50" s="8"/>
      <c r="B50" s="8"/>
      <c r="C50" s="54"/>
      <c r="D50" s="54"/>
      <c r="E50" s="54"/>
      <c r="F50" s="54"/>
    </row>
    <row r="51" spans="1:6" ht="13.15" x14ac:dyDescent="0.4">
      <c r="A51" s="5" t="s">
        <v>2538</v>
      </c>
      <c r="B51" s="8"/>
      <c r="C51" s="54">
        <v>214500</v>
      </c>
      <c r="D51" s="54">
        <v>214500</v>
      </c>
      <c r="E51" s="54">
        <v>214500</v>
      </c>
      <c r="F51" s="54">
        <v>214500</v>
      </c>
    </row>
    <row r="52" spans="1:6" ht="12.75" x14ac:dyDescent="0.35">
      <c r="A52" s="8"/>
      <c r="B52" s="8"/>
      <c r="C52" s="54"/>
      <c r="D52" s="54"/>
      <c r="E52" s="54"/>
      <c r="F52" s="54"/>
    </row>
    <row r="53" spans="1:6" ht="13.15" x14ac:dyDescent="0.4">
      <c r="A53" s="5" t="s">
        <v>2539</v>
      </c>
      <c r="B53" s="8"/>
      <c r="C53" s="54">
        <v>500</v>
      </c>
      <c r="D53" s="54"/>
      <c r="E53" s="54">
        <v>500</v>
      </c>
      <c r="F53" s="54">
        <v>500</v>
      </c>
    </row>
    <row r="54" spans="1:6" ht="12.75" x14ac:dyDescent="0.35">
      <c r="A54" s="8"/>
      <c r="B54" s="8"/>
      <c r="C54" s="54"/>
      <c r="D54" s="54"/>
      <c r="E54" s="54"/>
      <c r="F54" s="54"/>
    </row>
    <row r="55" spans="1:6" ht="13.15" x14ac:dyDescent="0.4">
      <c r="A55" s="5" t="s">
        <v>2540</v>
      </c>
      <c r="B55" s="8"/>
      <c r="C55" s="54">
        <v>0</v>
      </c>
      <c r="D55" s="54"/>
      <c r="E55" s="54">
        <v>0</v>
      </c>
      <c r="F55" s="54">
        <v>0</v>
      </c>
    </row>
    <row r="56" spans="1:6" ht="12.75" x14ac:dyDescent="0.35">
      <c r="A56" s="8"/>
      <c r="B56" s="8"/>
      <c r="C56" s="54"/>
      <c r="D56" s="54"/>
      <c r="E56" s="54"/>
      <c r="F56" s="54"/>
    </row>
    <row r="57" spans="1:6" ht="13.15" x14ac:dyDescent="0.4">
      <c r="A57" s="5" t="s">
        <v>2541</v>
      </c>
      <c r="B57" s="8"/>
      <c r="C57" s="54">
        <v>20000</v>
      </c>
      <c r="D57" s="54">
        <v>20000</v>
      </c>
      <c r="E57" s="54">
        <v>20000</v>
      </c>
      <c r="F57" s="54">
        <v>20000</v>
      </c>
    </row>
    <row r="58" spans="1:6" ht="12.75" x14ac:dyDescent="0.35">
      <c r="A58" s="8"/>
      <c r="B58" s="8"/>
      <c r="C58" s="54"/>
      <c r="D58" s="54"/>
      <c r="E58" s="54"/>
      <c r="F58" s="54"/>
    </row>
    <row r="59" spans="1:6" ht="13.15" x14ac:dyDescent="0.4">
      <c r="A59" s="5" t="s">
        <v>1399</v>
      </c>
      <c r="B59" s="8"/>
      <c r="C59" s="54">
        <v>5000</v>
      </c>
      <c r="D59" s="54">
        <v>986</v>
      </c>
      <c r="E59" s="54">
        <v>5000</v>
      </c>
      <c r="F59" s="54">
        <v>5000</v>
      </c>
    </row>
    <row r="60" spans="1:6" ht="12.75" x14ac:dyDescent="0.35">
      <c r="A60" s="8"/>
      <c r="B60" s="8"/>
      <c r="C60" s="54"/>
      <c r="D60" s="54"/>
      <c r="E60" s="54"/>
      <c r="F60" s="54"/>
    </row>
    <row r="61" spans="1:6" ht="13.15" x14ac:dyDescent="0.4">
      <c r="A61" s="5" t="s">
        <v>2542</v>
      </c>
      <c r="B61" s="8"/>
      <c r="C61" s="18">
        <f>+C59+C57+C55+C51+C53</f>
        <v>240000</v>
      </c>
      <c r="D61" s="18">
        <f>+D59+D57+D55+D51+D53</f>
        <v>235486</v>
      </c>
      <c r="E61" s="18">
        <f>+E59+E57+E55+E51+E53</f>
        <v>240000</v>
      </c>
      <c r="F61" s="18">
        <f>+F59+F57+F55+F51+F53</f>
        <v>240000</v>
      </c>
    </row>
    <row r="62" spans="1:6" ht="12.75" x14ac:dyDescent="0.35">
      <c r="A62" s="8"/>
      <c r="B62" s="8"/>
      <c r="C62" s="54"/>
      <c r="D62" s="54"/>
      <c r="E62" s="54"/>
      <c r="F62" s="54"/>
    </row>
    <row r="63" spans="1:6" ht="13.15" x14ac:dyDescent="0.4">
      <c r="A63" s="5" t="s">
        <v>2543</v>
      </c>
      <c r="B63" s="8"/>
      <c r="C63" s="54">
        <v>1500</v>
      </c>
      <c r="D63" s="54">
        <v>134</v>
      </c>
      <c r="E63" s="54">
        <v>1500</v>
      </c>
      <c r="F63" s="54">
        <v>1500</v>
      </c>
    </row>
    <row r="64" spans="1:6" ht="12.75" x14ac:dyDescent="0.35">
      <c r="A64" s="8"/>
      <c r="B64" s="8"/>
      <c r="C64" s="54"/>
      <c r="D64" s="54"/>
      <c r="E64" s="54"/>
      <c r="F64" s="54"/>
    </row>
    <row r="65" spans="1:6" ht="12.75" x14ac:dyDescent="0.35">
      <c r="A65" s="8"/>
      <c r="B65" s="8"/>
      <c r="C65" s="54"/>
      <c r="D65" s="54"/>
      <c r="E65" s="54"/>
      <c r="F65" s="54"/>
    </row>
    <row r="66" spans="1:6" ht="13.15" x14ac:dyDescent="0.4">
      <c r="A66" s="5" t="s">
        <v>2544</v>
      </c>
      <c r="B66" s="8"/>
      <c r="C66" s="54">
        <f>+C86</f>
        <v>138000</v>
      </c>
      <c r="D66" s="54">
        <f>+D86</f>
        <v>95881</v>
      </c>
      <c r="E66" s="54">
        <f>+E86</f>
        <v>137999.5</v>
      </c>
      <c r="F66" s="54">
        <f>+F86</f>
        <v>137999.5</v>
      </c>
    </row>
    <row r="67" spans="1:6" ht="12.75" x14ac:dyDescent="0.35">
      <c r="A67" s="8"/>
      <c r="B67" s="8"/>
      <c r="C67" s="54"/>
      <c r="D67" s="54"/>
      <c r="E67" s="54"/>
      <c r="F67" s="54"/>
    </row>
    <row r="68" spans="1:6" ht="12.75" x14ac:dyDescent="0.35">
      <c r="A68" s="8"/>
      <c r="B68" s="8"/>
      <c r="C68" s="54"/>
      <c r="D68" s="54"/>
      <c r="E68" s="54"/>
      <c r="F68" s="54"/>
    </row>
    <row r="69" spans="1:6" ht="13.15" x14ac:dyDescent="0.4">
      <c r="A69" s="8"/>
      <c r="B69" s="11" t="s">
        <v>2545</v>
      </c>
      <c r="C69" s="55"/>
      <c r="D69" s="13"/>
      <c r="E69" s="55"/>
      <c r="F69" s="55"/>
    </row>
    <row r="70" spans="1:6" ht="12.75" x14ac:dyDescent="0.35">
      <c r="A70" s="8"/>
      <c r="B70" s="56" t="s">
        <v>2546</v>
      </c>
      <c r="C70" s="57">
        <v>530</v>
      </c>
      <c r="D70" s="58"/>
      <c r="E70" s="57">
        <v>530</v>
      </c>
      <c r="F70" s="57">
        <v>530</v>
      </c>
    </row>
    <row r="71" spans="1:6" ht="12.75" x14ac:dyDescent="0.35">
      <c r="A71" s="8"/>
      <c r="B71" s="56" t="s">
        <v>2547</v>
      </c>
      <c r="C71" s="57">
        <v>7000</v>
      </c>
      <c r="D71" s="58">
        <f>1735+5346</f>
        <v>7081</v>
      </c>
      <c r="E71" s="57">
        <v>7000</v>
      </c>
      <c r="F71" s="57">
        <v>7000</v>
      </c>
    </row>
    <row r="72" spans="1:6" ht="12.75" x14ac:dyDescent="0.35">
      <c r="A72" s="8"/>
      <c r="B72" s="56" t="s">
        <v>2548</v>
      </c>
      <c r="C72" s="57">
        <v>43015</v>
      </c>
      <c r="D72" s="58">
        <v>41430</v>
      </c>
      <c r="E72" s="57">
        <v>33014.5</v>
      </c>
      <c r="F72" s="57">
        <v>33014.5</v>
      </c>
    </row>
    <row r="73" spans="1:6" ht="12.75" x14ac:dyDescent="0.35">
      <c r="A73" s="8"/>
      <c r="B73" s="56" t="s">
        <v>2549</v>
      </c>
      <c r="C73" s="57">
        <v>33015</v>
      </c>
      <c r="D73" s="58">
        <f>2499+900</f>
        <v>3399</v>
      </c>
      <c r="E73" s="57">
        <v>33014</v>
      </c>
      <c r="F73" s="57">
        <v>33014</v>
      </c>
    </row>
    <row r="74" spans="1:6" ht="12.75" x14ac:dyDescent="0.35">
      <c r="A74" s="8"/>
      <c r="B74" s="56" t="s">
        <v>2550</v>
      </c>
      <c r="C74" s="57"/>
      <c r="D74" s="58"/>
      <c r="E74" s="57">
        <v>10000</v>
      </c>
      <c r="F74" s="57">
        <v>10000</v>
      </c>
    </row>
    <row r="75" spans="1:6" ht="12.75" x14ac:dyDescent="0.35">
      <c r="A75" s="8"/>
      <c r="B75" s="56" t="s">
        <v>2551</v>
      </c>
      <c r="C75" s="57">
        <v>5000</v>
      </c>
      <c r="D75" s="58">
        <v>4050</v>
      </c>
      <c r="E75" s="57">
        <v>5000</v>
      </c>
      <c r="F75" s="57">
        <v>5000</v>
      </c>
    </row>
    <row r="76" spans="1:6" ht="12.75" x14ac:dyDescent="0.35">
      <c r="A76" s="8"/>
      <c r="B76" s="56" t="s">
        <v>2552</v>
      </c>
      <c r="C76" s="57">
        <v>12870</v>
      </c>
      <c r="D76" s="58">
        <v>9486</v>
      </c>
      <c r="E76" s="57">
        <v>12871</v>
      </c>
      <c r="F76" s="57">
        <v>12871</v>
      </c>
    </row>
    <row r="77" spans="1:6" ht="12.75" x14ac:dyDescent="0.35">
      <c r="A77" s="8"/>
      <c r="B77" s="56" t="s">
        <v>2553</v>
      </c>
      <c r="C77" s="57"/>
      <c r="D77" s="58"/>
      <c r="E77" s="57"/>
      <c r="F77" s="57"/>
    </row>
    <row r="78" spans="1:6" ht="12.75" x14ac:dyDescent="0.35">
      <c r="A78" s="8"/>
      <c r="B78" s="56" t="s">
        <v>2554</v>
      </c>
      <c r="C78" s="57">
        <v>2000</v>
      </c>
      <c r="D78" s="58"/>
      <c r="E78" s="57">
        <v>2000</v>
      </c>
      <c r="F78" s="57">
        <v>2000</v>
      </c>
    </row>
    <row r="79" spans="1:6" ht="12.75" x14ac:dyDescent="0.35">
      <c r="A79" s="8"/>
      <c r="B79" s="56" t="s">
        <v>2555</v>
      </c>
      <c r="C79" s="57">
        <v>2070</v>
      </c>
      <c r="D79" s="58">
        <f>303+1550+2919+1588+1250+230+857</f>
        <v>8697</v>
      </c>
      <c r="E79" s="57">
        <f>2600-530</f>
        <v>2070</v>
      </c>
      <c r="F79" s="57">
        <f>2600-530</f>
        <v>2070</v>
      </c>
    </row>
    <row r="80" spans="1:6" ht="12.75" x14ac:dyDescent="0.35">
      <c r="A80" s="8"/>
      <c r="B80" s="56" t="s">
        <v>2556</v>
      </c>
      <c r="C80" s="57"/>
      <c r="D80" s="58"/>
      <c r="E80" s="57"/>
      <c r="F80" s="57"/>
    </row>
    <row r="81" spans="1:6" ht="12.75" x14ac:dyDescent="0.35">
      <c r="A81" s="8"/>
      <c r="B81" s="56" t="s">
        <v>2557</v>
      </c>
      <c r="C81" s="57"/>
      <c r="D81" s="58"/>
      <c r="E81" s="57"/>
      <c r="F81" s="57"/>
    </row>
    <row r="82" spans="1:6" ht="12.75" x14ac:dyDescent="0.35">
      <c r="A82" s="8"/>
      <c r="B82" s="56" t="s">
        <v>2558</v>
      </c>
      <c r="C82" s="57">
        <v>30500</v>
      </c>
      <c r="D82" s="58">
        <v>21738</v>
      </c>
      <c r="E82" s="57">
        <v>18000</v>
      </c>
      <c r="F82" s="57">
        <v>18000</v>
      </c>
    </row>
    <row r="83" spans="1:6" ht="12.75" x14ac:dyDescent="0.35">
      <c r="A83" s="8"/>
      <c r="B83" s="56" t="s">
        <v>2559</v>
      </c>
      <c r="C83" s="57"/>
      <c r="D83" s="58"/>
      <c r="E83" s="57">
        <v>12500</v>
      </c>
      <c r="F83" s="57">
        <v>12500</v>
      </c>
    </row>
    <row r="84" spans="1:6" ht="12.75" x14ac:dyDescent="0.35">
      <c r="A84" s="8"/>
      <c r="B84" s="56" t="s">
        <v>2560</v>
      </c>
      <c r="C84" s="57">
        <v>2000</v>
      </c>
      <c r="D84" s="58"/>
      <c r="E84" s="57">
        <v>2000</v>
      </c>
      <c r="F84" s="57">
        <v>2000</v>
      </c>
    </row>
    <row r="85" spans="1:6" ht="12.75" x14ac:dyDescent="0.35">
      <c r="A85" s="8"/>
      <c r="B85" s="56" t="s">
        <v>2561</v>
      </c>
      <c r="C85" s="57"/>
      <c r="D85" s="58"/>
      <c r="E85" s="57"/>
      <c r="F85" s="57"/>
    </row>
    <row r="86" spans="1:6" ht="12.75" x14ac:dyDescent="0.35">
      <c r="A86" s="8"/>
      <c r="B86" s="59" t="s">
        <v>2513</v>
      </c>
      <c r="C86" s="19">
        <f>SUM(C70:C85)</f>
        <v>138000</v>
      </c>
      <c r="D86" s="60">
        <f>SUM(D70:D85)</f>
        <v>95881</v>
      </c>
      <c r="E86" s="19">
        <f>SUM(E70:E85)</f>
        <v>137999.5</v>
      </c>
      <c r="F86" s="19">
        <f>SUM(F70:F85)</f>
        <v>137999.5</v>
      </c>
    </row>
    <row r="87" spans="1:6" ht="12.75" x14ac:dyDescent="0.35">
      <c r="A87" s="8"/>
      <c r="B87" s="8"/>
      <c r="C87" s="54"/>
      <c r="D87" s="54"/>
      <c r="E87" s="54"/>
      <c r="F87" s="54"/>
    </row>
    <row r="88" spans="1:6" ht="13.15" x14ac:dyDescent="0.4">
      <c r="A88" s="5" t="s">
        <v>2562</v>
      </c>
      <c r="B88" s="8"/>
      <c r="C88" s="54">
        <v>2500</v>
      </c>
      <c r="D88" s="54">
        <v>5098</v>
      </c>
      <c r="E88" s="54">
        <v>2500</v>
      </c>
      <c r="F88" s="54">
        <v>3500</v>
      </c>
    </row>
    <row r="89" spans="1:6" ht="12.75" x14ac:dyDescent="0.35">
      <c r="A89" s="8"/>
      <c r="B89" s="8"/>
      <c r="C89" s="54"/>
      <c r="D89" s="54"/>
      <c r="E89" s="54"/>
      <c r="F89" s="54"/>
    </row>
    <row r="90" spans="1:6" ht="13.15" x14ac:dyDescent="0.4">
      <c r="A90" s="5" t="s">
        <v>2563</v>
      </c>
      <c r="B90" s="8"/>
      <c r="C90" s="54">
        <v>850</v>
      </c>
      <c r="D90" s="54">
        <v>850</v>
      </c>
      <c r="E90" s="54">
        <v>850</v>
      </c>
      <c r="F90" s="54">
        <v>925</v>
      </c>
    </row>
    <row r="91" spans="1:6" ht="12.75" x14ac:dyDescent="0.35">
      <c r="A91" s="8"/>
      <c r="B91" s="8"/>
      <c r="C91" s="54"/>
      <c r="D91" s="54"/>
      <c r="E91" s="54"/>
      <c r="F91" s="54"/>
    </row>
    <row r="92" spans="1:6" ht="13.15" x14ac:dyDescent="0.4">
      <c r="A92" s="5" t="s">
        <v>2564</v>
      </c>
      <c r="B92" s="8"/>
      <c r="C92" s="54">
        <f>+C104</f>
        <v>30000</v>
      </c>
      <c r="D92" s="54">
        <f>+D104</f>
        <v>32909</v>
      </c>
      <c r="E92" s="54">
        <f>+E104</f>
        <v>30000</v>
      </c>
      <c r="F92" s="54">
        <f>+F104</f>
        <v>30000</v>
      </c>
    </row>
    <row r="93" spans="1:6" ht="12.75" x14ac:dyDescent="0.35">
      <c r="A93" s="8"/>
      <c r="B93" s="8"/>
      <c r="C93" s="54"/>
      <c r="D93" s="54"/>
      <c r="E93" s="54"/>
      <c r="F93" s="54"/>
    </row>
    <row r="94" spans="1:6" ht="13.15" x14ac:dyDescent="0.4">
      <c r="A94" s="8"/>
      <c r="B94" s="11" t="s">
        <v>1393</v>
      </c>
      <c r="C94" s="55"/>
      <c r="D94" s="13"/>
      <c r="E94" s="55"/>
      <c r="F94" s="55"/>
    </row>
    <row r="95" spans="1:6" ht="12.75" x14ac:dyDescent="0.35">
      <c r="A95" s="8"/>
      <c r="B95" s="56" t="s">
        <v>2546</v>
      </c>
      <c r="C95" s="57">
        <v>400</v>
      </c>
      <c r="D95" s="58"/>
      <c r="E95" s="57">
        <v>400</v>
      </c>
      <c r="F95" s="57">
        <v>400</v>
      </c>
    </row>
    <row r="96" spans="1:6" ht="12.75" x14ac:dyDescent="0.35">
      <c r="A96" s="8"/>
      <c r="B96" s="56" t="s">
        <v>2565</v>
      </c>
      <c r="C96" s="57">
        <v>7000</v>
      </c>
      <c r="D96" s="58">
        <f>15403-7925-400</f>
        <v>7078</v>
      </c>
      <c r="E96" s="57">
        <v>7000</v>
      </c>
      <c r="F96" s="57">
        <v>7000</v>
      </c>
    </row>
    <row r="97" spans="1:6" ht="12.75" x14ac:dyDescent="0.35">
      <c r="A97" s="8"/>
      <c r="B97" s="56" t="s">
        <v>2566</v>
      </c>
      <c r="C97" s="57">
        <v>0</v>
      </c>
      <c r="D97" s="58">
        <v>0</v>
      </c>
      <c r="E97" s="57">
        <v>0</v>
      </c>
      <c r="F97" s="57">
        <v>0</v>
      </c>
    </row>
    <row r="98" spans="1:6" ht="12.75" x14ac:dyDescent="0.35">
      <c r="A98" s="8"/>
      <c r="B98" s="56" t="s">
        <v>2567</v>
      </c>
      <c r="C98" s="57">
        <v>4100</v>
      </c>
      <c r="D98" s="58">
        <f>508+625+400</f>
        <v>1533</v>
      </c>
      <c r="E98" s="57">
        <f>1674+2426</f>
        <v>4100</v>
      </c>
      <c r="F98" s="57">
        <f>1674+2426</f>
        <v>4100</v>
      </c>
    </row>
    <row r="99" spans="1:6" ht="12.75" x14ac:dyDescent="0.35">
      <c r="A99" s="8"/>
      <c r="B99" s="56" t="s">
        <v>2568</v>
      </c>
      <c r="C99" s="57"/>
      <c r="D99" s="58"/>
      <c r="E99" s="57"/>
      <c r="F99" s="57"/>
    </row>
    <row r="100" spans="1:6" ht="12.75" x14ac:dyDescent="0.35">
      <c r="A100" s="8"/>
      <c r="B100" s="56" t="s">
        <v>2569</v>
      </c>
      <c r="C100" s="57"/>
      <c r="D100" s="58" t="s">
        <v>2570</v>
      </c>
      <c r="E100" s="57"/>
      <c r="F100" s="57"/>
    </row>
    <row r="101" spans="1:6" ht="12.75" x14ac:dyDescent="0.35">
      <c r="A101" s="8"/>
      <c r="B101" s="56" t="s">
        <v>2571</v>
      </c>
      <c r="C101" s="57">
        <f>37000-3500</f>
        <v>33500</v>
      </c>
      <c r="D101" s="58">
        <f>15729+125+2476+14+2634+50+7925</f>
        <v>28953</v>
      </c>
      <c r="E101" s="57">
        <v>33500</v>
      </c>
      <c r="F101" s="57">
        <v>33500</v>
      </c>
    </row>
    <row r="102" spans="1:6" ht="12.75" x14ac:dyDescent="0.35">
      <c r="A102" s="8"/>
      <c r="B102" s="56" t="s">
        <v>2572</v>
      </c>
      <c r="C102" s="57"/>
      <c r="D102" s="58"/>
      <c r="E102" s="57"/>
      <c r="F102" s="57"/>
    </row>
    <row r="103" spans="1:6" ht="12.75" x14ac:dyDescent="0.35">
      <c r="A103" s="8"/>
      <c r="B103" s="56" t="s">
        <v>2573</v>
      </c>
      <c r="C103" s="57">
        <v>-15000</v>
      </c>
      <c r="D103" s="58">
        <v>-4655</v>
      </c>
      <c r="E103" s="57">
        <v>-15000</v>
      </c>
      <c r="F103" s="57">
        <v>-15000</v>
      </c>
    </row>
    <row r="104" spans="1:6" ht="12.75" x14ac:dyDescent="0.35">
      <c r="A104" s="8"/>
      <c r="B104" s="59" t="s">
        <v>2513</v>
      </c>
      <c r="C104" s="19">
        <f>SUM(C95:C103)</f>
        <v>30000</v>
      </c>
      <c r="D104" s="60">
        <f>SUM(D95:D103)</f>
        <v>32909</v>
      </c>
      <c r="E104" s="19">
        <f>SUM(E95:E103)</f>
        <v>30000</v>
      </c>
      <c r="F104" s="19">
        <f>SUM(F95:F103)</f>
        <v>30000</v>
      </c>
    </row>
    <row r="105" spans="1:6" ht="12.75" x14ac:dyDescent="0.35">
      <c r="A105" s="8"/>
      <c r="B105" s="8"/>
      <c r="C105" s="54"/>
      <c r="D105" s="54"/>
      <c r="E105" s="54"/>
      <c r="F105" s="54"/>
    </row>
    <row r="106" spans="1:6" ht="12.75" x14ac:dyDescent="0.35">
      <c r="A106" s="8" t="s">
        <v>2574</v>
      </c>
      <c r="B106" s="8"/>
      <c r="C106" s="54">
        <v>10500</v>
      </c>
      <c r="D106" s="54">
        <v>6243</v>
      </c>
      <c r="E106" s="54">
        <v>10500</v>
      </c>
      <c r="F106" s="54">
        <v>10625</v>
      </c>
    </row>
    <row r="107" spans="1:6" ht="12.75" x14ac:dyDescent="0.35">
      <c r="A107" s="8"/>
      <c r="B107" s="8"/>
      <c r="C107" s="54"/>
      <c r="D107" s="54"/>
      <c r="E107" s="54"/>
      <c r="F107" s="54"/>
    </row>
    <row r="108" spans="1:6" ht="12.75" x14ac:dyDescent="0.35">
      <c r="A108" s="8" t="s">
        <v>2575</v>
      </c>
      <c r="B108" s="8"/>
      <c r="C108" s="54">
        <v>250</v>
      </c>
      <c r="D108" s="54">
        <v>0</v>
      </c>
      <c r="E108" s="54">
        <v>250</v>
      </c>
      <c r="F108" s="54">
        <v>250</v>
      </c>
    </row>
    <row r="109" spans="1:6" ht="12.75" x14ac:dyDescent="0.35">
      <c r="A109" s="8"/>
      <c r="B109" s="8"/>
      <c r="C109" s="54"/>
      <c r="D109" s="54"/>
      <c r="E109" s="54"/>
      <c r="F109" s="54"/>
    </row>
    <row r="110" spans="1:6" ht="12.75" x14ac:dyDescent="0.35">
      <c r="A110" s="8" t="s">
        <v>2576</v>
      </c>
      <c r="B110" s="8"/>
      <c r="C110" s="54">
        <v>250</v>
      </c>
      <c r="D110" s="54">
        <v>2</v>
      </c>
      <c r="E110" s="54">
        <v>250</v>
      </c>
      <c r="F110" s="54">
        <v>250</v>
      </c>
    </row>
    <row r="111" spans="1:6" ht="12.75" x14ac:dyDescent="0.35">
      <c r="A111" s="8"/>
      <c r="B111" s="8"/>
      <c r="C111" s="54"/>
      <c r="D111" s="54"/>
      <c r="E111" s="54"/>
      <c r="F111" s="54"/>
    </row>
    <row r="112" spans="1:6" ht="13.15" x14ac:dyDescent="0.4">
      <c r="A112" s="5" t="s">
        <v>2577</v>
      </c>
      <c r="B112" s="8"/>
      <c r="C112" s="54">
        <v>6975</v>
      </c>
      <c r="D112" s="54">
        <v>6975</v>
      </c>
      <c r="E112" s="54">
        <v>6975</v>
      </c>
      <c r="F112" s="54">
        <v>6975</v>
      </c>
    </row>
    <row r="113" spans="1:6" ht="12.75" x14ac:dyDescent="0.35">
      <c r="A113" s="8"/>
      <c r="B113" s="8"/>
      <c r="C113" s="54"/>
      <c r="D113" s="54"/>
      <c r="E113" s="54"/>
      <c r="F113" s="54"/>
    </row>
    <row r="114" spans="1:6" ht="13.15" x14ac:dyDescent="0.4">
      <c r="A114" s="5" t="s">
        <v>2578</v>
      </c>
      <c r="B114" s="8"/>
      <c r="C114" s="54">
        <v>6975</v>
      </c>
      <c r="D114" s="54">
        <v>7975</v>
      </c>
      <c r="E114" s="54">
        <v>6975</v>
      </c>
      <c r="F114" s="54">
        <v>6975</v>
      </c>
    </row>
    <row r="115" spans="1:6" ht="12.75" x14ac:dyDescent="0.35">
      <c r="A115" s="8"/>
      <c r="B115" s="8"/>
      <c r="C115" s="54"/>
      <c r="D115" s="54"/>
      <c r="E115" s="54"/>
      <c r="F115" s="54"/>
    </row>
    <row r="116" spans="1:6" ht="13.15" x14ac:dyDescent="0.4">
      <c r="A116" s="5" t="s">
        <v>2579</v>
      </c>
      <c r="B116" s="8"/>
      <c r="C116" s="54">
        <v>23500</v>
      </c>
      <c r="D116" s="54">
        <v>23500</v>
      </c>
      <c r="E116" s="54">
        <v>23500</v>
      </c>
      <c r="F116" s="54">
        <v>5000</v>
      </c>
    </row>
    <row r="117" spans="1:6" ht="12.75" x14ac:dyDescent="0.35">
      <c r="A117" s="8"/>
      <c r="B117" s="8"/>
      <c r="C117" s="54"/>
      <c r="D117" s="54"/>
      <c r="E117" s="54"/>
      <c r="F117" s="54"/>
    </row>
    <row r="118" spans="1:6" ht="13.15" x14ac:dyDescent="0.4">
      <c r="A118" s="5" t="s">
        <v>777</v>
      </c>
      <c r="B118" s="8"/>
      <c r="C118" s="54">
        <v>300</v>
      </c>
      <c r="D118" s="54">
        <v>150</v>
      </c>
      <c r="E118" s="54">
        <v>300</v>
      </c>
      <c r="F118" s="54">
        <v>465</v>
      </c>
    </row>
    <row r="119" spans="1:6" ht="13.15" x14ac:dyDescent="0.4">
      <c r="A119" s="5"/>
      <c r="B119" s="8"/>
      <c r="C119" s="54"/>
      <c r="D119" s="54"/>
      <c r="E119" s="54"/>
      <c r="F119" s="54"/>
    </row>
    <row r="120" spans="1:6" ht="13.15" x14ac:dyDescent="0.4">
      <c r="A120" s="5" t="s">
        <v>1398</v>
      </c>
      <c r="B120" s="8"/>
      <c r="C120" s="54">
        <v>7500</v>
      </c>
      <c r="D120" s="54">
        <v>6250</v>
      </c>
      <c r="E120" s="54">
        <v>7500</v>
      </c>
      <c r="F120" s="54">
        <v>11100</v>
      </c>
    </row>
    <row r="121" spans="1:6" ht="13.15" x14ac:dyDescent="0.4">
      <c r="A121" s="5"/>
      <c r="B121" s="8"/>
      <c r="C121" s="54"/>
      <c r="D121" s="54"/>
      <c r="E121" s="54"/>
      <c r="F121" s="54"/>
    </row>
    <row r="122" spans="1:6" ht="12.75" x14ac:dyDescent="0.35">
      <c r="A122" s="8"/>
      <c r="B122" s="8"/>
      <c r="C122" s="54"/>
      <c r="D122" s="54"/>
      <c r="E122" s="54"/>
      <c r="F122" s="54"/>
    </row>
    <row r="123" spans="1:6" ht="13.15" x14ac:dyDescent="0.4">
      <c r="A123" s="5" t="s">
        <v>778</v>
      </c>
      <c r="B123" s="8"/>
      <c r="C123" s="18">
        <f>+C118+C116+C114+C112+C110+C108+C106+C92+C90+C88+C66+C63+C120</f>
        <v>229100</v>
      </c>
      <c r="D123" s="18">
        <f>+D118+D116+D114+D112+D110+D108+D106+D92+D90+D88+D66+D63+D120</f>
        <v>185967</v>
      </c>
      <c r="E123" s="18">
        <f>+E118+E116+E114+E112+E110+E108+E106+E92+E90+E88+E66+E63+E120</f>
        <v>229099.5</v>
      </c>
      <c r="F123" s="18">
        <f>+F118+F116+F114+F112+F110+F108+F106+F92+F90+F88+F66+F63+F120</f>
        <v>215564.5</v>
      </c>
    </row>
    <row r="124" spans="1:6" ht="12.75" x14ac:dyDescent="0.35">
      <c r="A124" s="8"/>
      <c r="B124" s="8"/>
      <c r="C124" s="54"/>
      <c r="D124" s="54"/>
      <c r="E124" s="54"/>
      <c r="F124" s="54"/>
    </row>
    <row r="125" spans="1:6" ht="13.15" x14ac:dyDescent="0.4">
      <c r="A125" s="5" t="s">
        <v>779</v>
      </c>
      <c r="B125" s="8"/>
      <c r="C125" s="54">
        <v>3200</v>
      </c>
      <c r="D125" s="54">
        <v>531</v>
      </c>
      <c r="E125" s="54">
        <v>3200</v>
      </c>
      <c r="F125" s="54">
        <v>3200</v>
      </c>
    </row>
    <row r="126" spans="1:6" ht="12.75" x14ac:dyDescent="0.35">
      <c r="A126" s="8"/>
      <c r="B126" s="8"/>
      <c r="C126" s="54"/>
      <c r="D126" s="54"/>
      <c r="E126" s="54"/>
      <c r="F126" s="54"/>
    </row>
    <row r="127" spans="1:6" ht="12.75" x14ac:dyDescent="0.35">
      <c r="A127" s="8"/>
      <c r="B127" s="8"/>
      <c r="C127" s="54"/>
      <c r="D127" s="54"/>
      <c r="E127" s="54"/>
      <c r="F127" s="54"/>
    </row>
    <row r="128" spans="1:6" ht="13.15" x14ac:dyDescent="0.4">
      <c r="A128" s="5" t="s">
        <v>780</v>
      </c>
      <c r="B128" s="8"/>
      <c r="C128" s="54">
        <v>4500</v>
      </c>
      <c r="D128" s="54">
        <v>7303</v>
      </c>
      <c r="E128" s="54">
        <v>4500</v>
      </c>
      <c r="F128" s="54">
        <v>8000</v>
      </c>
    </row>
    <row r="129" spans="1:6" ht="12.75" x14ac:dyDescent="0.35">
      <c r="A129" s="8"/>
      <c r="B129" s="8"/>
      <c r="C129" s="54"/>
      <c r="D129" s="54"/>
      <c r="E129" s="54"/>
      <c r="F129" s="54"/>
    </row>
    <row r="130" spans="1:6" ht="13.15" x14ac:dyDescent="0.4">
      <c r="A130" s="5" t="s">
        <v>781</v>
      </c>
      <c r="B130" s="8"/>
      <c r="C130" s="54">
        <f>+C159</f>
        <v>35800</v>
      </c>
      <c r="D130" s="54">
        <f>+D159</f>
        <v>34918</v>
      </c>
      <c r="E130" s="54">
        <f>+E159</f>
        <v>35800</v>
      </c>
      <c r="F130" s="54">
        <f>+F159</f>
        <v>40400</v>
      </c>
    </row>
    <row r="131" spans="1:6" ht="12.75" x14ac:dyDescent="0.35">
      <c r="A131" s="8"/>
      <c r="B131" s="8"/>
      <c r="C131" s="54"/>
      <c r="D131" s="54"/>
      <c r="E131" s="54"/>
      <c r="F131" s="54"/>
    </row>
    <row r="132" spans="1:6" ht="13.15" x14ac:dyDescent="0.4">
      <c r="A132" s="8"/>
      <c r="B132" s="11" t="s">
        <v>782</v>
      </c>
      <c r="C132" s="55"/>
      <c r="D132" s="13"/>
      <c r="E132" s="55"/>
      <c r="F132" s="55"/>
    </row>
    <row r="133" spans="1:6" ht="12.75" x14ac:dyDescent="0.35">
      <c r="A133" s="8"/>
      <c r="B133" s="56" t="s">
        <v>783</v>
      </c>
      <c r="C133" s="57"/>
      <c r="D133" s="58"/>
      <c r="E133" s="57"/>
      <c r="F133" s="57"/>
    </row>
    <row r="134" spans="1:6" ht="12.75" x14ac:dyDescent="0.35">
      <c r="A134" s="8"/>
      <c r="B134" s="56" t="s">
        <v>784</v>
      </c>
      <c r="C134" s="57">
        <v>12000</v>
      </c>
      <c r="D134" s="58">
        <v>11000</v>
      </c>
      <c r="E134" s="57">
        <v>12000</v>
      </c>
      <c r="F134" s="57">
        <v>12000</v>
      </c>
    </row>
    <row r="135" spans="1:6" ht="12.75" x14ac:dyDescent="0.35">
      <c r="A135" s="8"/>
      <c r="B135" s="56" t="s">
        <v>785</v>
      </c>
      <c r="C135" s="57">
        <v>200</v>
      </c>
      <c r="D135" s="58">
        <v>54</v>
      </c>
      <c r="E135" s="57">
        <v>200</v>
      </c>
      <c r="F135" s="57">
        <v>200</v>
      </c>
    </row>
    <row r="136" spans="1:6" ht="12.75" x14ac:dyDescent="0.35">
      <c r="A136" s="8"/>
      <c r="B136" s="56" t="s">
        <v>786</v>
      </c>
      <c r="C136" s="57">
        <v>800</v>
      </c>
      <c r="D136" s="58">
        <v>185</v>
      </c>
      <c r="E136" s="57">
        <v>800</v>
      </c>
      <c r="F136" s="57">
        <v>800</v>
      </c>
    </row>
    <row r="137" spans="1:6" ht="12.75" x14ac:dyDescent="0.35">
      <c r="A137" s="8"/>
      <c r="B137" s="56" t="s">
        <v>787</v>
      </c>
      <c r="C137" s="57">
        <v>100</v>
      </c>
      <c r="D137" s="58">
        <v>119</v>
      </c>
      <c r="E137" s="57">
        <v>100</v>
      </c>
      <c r="F137" s="57">
        <v>100</v>
      </c>
    </row>
    <row r="138" spans="1:6" ht="12.75" x14ac:dyDescent="0.35">
      <c r="A138" s="8"/>
      <c r="B138" s="56" t="s">
        <v>788</v>
      </c>
      <c r="C138" s="57">
        <v>500</v>
      </c>
      <c r="D138" s="58">
        <v>532</v>
      </c>
      <c r="E138" s="57">
        <v>500</v>
      </c>
      <c r="F138" s="57">
        <v>500</v>
      </c>
    </row>
    <row r="139" spans="1:6" ht="12.75" x14ac:dyDescent="0.35">
      <c r="A139" s="8"/>
      <c r="B139" s="56" t="s">
        <v>789</v>
      </c>
      <c r="C139" s="57">
        <v>2000</v>
      </c>
      <c r="D139" s="58">
        <v>2264</v>
      </c>
      <c r="E139" s="57">
        <v>2000</v>
      </c>
      <c r="F139" s="57">
        <v>2000</v>
      </c>
    </row>
    <row r="140" spans="1:6" ht="12.75" x14ac:dyDescent="0.35">
      <c r="A140" s="8"/>
      <c r="B140" s="56" t="s">
        <v>790</v>
      </c>
      <c r="C140" s="57">
        <v>500</v>
      </c>
      <c r="D140" s="57"/>
      <c r="E140" s="57">
        <v>500</v>
      </c>
      <c r="F140" s="57">
        <v>500</v>
      </c>
    </row>
    <row r="141" spans="1:6" ht="12.75" x14ac:dyDescent="0.35">
      <c r="A141" s="8"/>
      <c r="B141" s="56" t="s">
        <v>791</v>
      </c>
      <c r="C141" s="57">
        <v>3000</v>
      </c>
      <c r="D141" s="57">
        <v>3129</v>
      </c>
      <c r="E141" s="57">
        <v>3000</v>
      </c>
      <c r="F141" s="57">
        <v>3000</v>
      </c>
    </row>
    <row r="142" spans="1:6" ht="12.75" x14ac:dyDescent="0.35">
      <c r="A142" s="8"/>
      <c r="B142" s="56" t="s">
        <v>792</v>
      </c>
      <c r="C142" s="57">
        <f>SUM(C134:C141)</f>
        <v>19100</v>
      </c>
      <c r="D142" s="57">
        <f>SUM(D134:D141)</f>
        <v>17283</v>
      </c>
      <c r="E142" s="57">
        <f>SUM(E134:E141)</f>
        <v>19100</v>
      </c>
      <c r="F142" s="57">
        <f>SUM(F134:F141)</f>
        <v>19100</v>
      </c>
    </row>
    <row r="143" spans="1:6" ht="12.75" x14ac:dyDescent="0.35">
      <c r="A143" s="8"/>
      <c r="B143" s="56" t="s">
        <v>793</v>
      </c>
      <c r="C143" s="57"/>
      <c r="D143" s="58"/>
      <c r="E143" s="57"/>
      <c r="F143" s="57"/>
    </row>
    <row r="144" spans="1:6" ht="12.75" x14ac:dyDescent="0.35">
      <c r="A144" s="8"/>
      <c r="B144" s="56" t="s">
        <v>794</v>
      </c>
      <c r="C144" s="57">
        <v>2500</v>
      </c>
      <c r="D144" s="58"/>
      <c r="E144" s="57">
        <v>2500</v>
      </c>
      <c r="F144" s="57">
        <v>2500</v>
      </c>
    </row>
    <row r="145" spans="1:6" ht="12.75" x14ac:dyDescent="0.35">
      <c r="A145" s="8"/>
      <c r="B145" s="56" t="s">
        <v>795</v>
      </c>
      <c r="C145" s="57">
        <v>2000</v>
      </c>
      <c r="D145" s="58">
        <v>288</v>
      </c>
      <c r="E145" s="57">
        <v>2000</v>
      </c>
      <c r="F145" s="57">
        <v>2000</v>
      </c>
    </row>
    <row r="146" spans="1:6" ht="12.75" x14ac:dyDescent="0.35">
      <c r="A146" s="8"/>
      <c r="B146" s="56" t="s">
        <v>796</v>
      </c>
      <c r="C146" s="57">
        <v>4000</v>
      </c>
      <c r="D146" s="58">
        <v>4534</v>
      </c>
      <c r="E146" s="57">
        <v>4000</v>
      </c>
      <c r="F146" s="57">
        <v>4000</v>
      </c>
    </row>
    <row r="147" spans="1:6" ht="12.75" x14ac:dyDescent="0.35">
      <c r="A147" s="8"/>
      <c r="B147" s="56" t="s">
        <v>797</v>
      </c>
      <c r="C147" s="57">
        <v>500</v>
      </c>
      <c r="D147" s="58"/>
      <c r="E147" s="57">
        <v>500</v>
      </c>
      <c r="F147" s="57">
        <v>500</v>
      </c>
    </row>
    <row r="148" spans="1:6" ht="12.75" x14ac:dyDescent="0.35">
      <c r="A148" s="8"/>
      <c r="B148" s="56" t="s">
        <v>798</v>
      </c>
      <c r="C148" s="57">
        <v>5500</v>
      </c>
      <c r="D148" s="58"/>
      <c r="E148" s="57">
        <v>5500</v>
      </c>
      <c r="F148" s="57">
        <v>5500</v>
      </c>
    </row>
    <row r="149" spans="1:6" ht="12.75" x14ac:dyDescent="0.35">
      <c r="A149" s="8"/>
      <c r="B149" s="56" t="s">
        <v>799</v>
      </c>
      <c r="C149" s="57">
        <f>SUM(C144:C148)</f>
        <v>14500</v>
      </c>
      <c r="D149" s="58">
        <f>SUM(D144:D148)</f>
        <v>4822</v>
      </c>
      <c r="E149" s="57">
        <f>SUM(E144:E148)</f>
        <v>14500</v>
      </c>
      <c r="F149" s="57">
        <f>SUM(F144:F148)</f>
        <v>14500</v>
      </c>
    </row>
    <row r="150" spans="1:6" ht="12.75" x14ac:dyDescent="0.35">
      <c r="A150" s="8"/>
      <c r="B150" s="56" t="s">
        <v>800</v>
      </c>
      <c r="C150" s="57"/>
      <c r="D150" s="58"/>
      <c r="E150" s="57"/>
      <c r="F150" s="57"/>
    </row>
    <row r="151" spans="1:6" ht="12.75" x14ac:dyDescent="0.35">
      <c r="A151" s="8"/>
      <c r="B151" s="56" t="s">
        <v>801</v>
      </c>
      <c r="C151" s="57">
        <v>300</v>
      </c>
      <c r="D151" s="58"/>
      <c r="E151" s="57">
        <v>300</v>
      </c>
      <c r="F151" s="57">
        <v>300</v>
      </c>
    </row>
    <row r="152" spans="1:6" ht="12.75" x14ac:dyDescent="0.35">
      <c r="A152" s="8"/>
      <c r="B152" s="56" t="s">
        <v>802</v>
      </c>
      <c r="C152" s="57">
        <v>100</v>
      </c>
      <c r="D152" s="58"/>
      <c r="E152" s="57">
        <v>100</v>
      </c>
      <c r="F152" s="57">
        <v>100</v>
      </c>
    </row>
    <row r="153" spans="1:6" ht="12.75" x14ac:dyDescent="0.35">
      <c r="A153" s="8"/>
      <c r="B153" s="56" t="s">
        <v>803</v>
      </c>
      <c r="C153" s="57">
        <v>26400</v>
      </c>
      <c r="D153" s="58">
        <v>14460</v>
      </c>
      <c r="E153" s="57">
        <v>26400</v>
      </c>
      <c r="F153" s="57">
        <f>26400+4600</f>
        <v>31000</v>
      </c>
    </row>
    <row r="154" spans="1:6" ht="12.75" x14ac:dyDescent="0.35">
      <c r="A154" s="8"/>
      <c r="B154" s="56" t="s">
        <v>730</v>
      </c>
      <c r="C154" s="57">
        <v>800</v>
      </c>
      <c r="D154" s="58">
        <f>43011+17555+1110+15429+16519+6500+4320+1676-11312-882+9924</f>
        <v>103850</v>
      </c>
      <c r="E154" s="57">
        <v>800</v>
      </c>
      <c r="F154" s="57">
        <v>800</v>
      </c>
    </row>
    <row r="155" spans="1:6" ht="12.75" x14ac:dyDescent="0.35">
      <c r="A155" s="8"/>
      <c r="B155" s="56" t="s">
        <v>805</v>
      </c>
      <c r="C155" s="57">
        <v>1000</v>
      </c>
      <c r="D155" s="58">
        <f>2653-2215</f>
        <v>438</v>
      </c>
      <c r="E155" s="57">
        <v>1000</v>
      </c>
      <c r="F155" s="57">
        <v>1000</v>
      </c>
    </row>
    <row r="156" spans="1:6" ht="12.75" x14ac:dyDescent="0.35">
      <c r="A156" s="8"/>
      <c r="B156" s="56" t="s">
        <v>806</v>
      </c>
      <c r="C156" s="57">
        <f>SUM(C151:C155)</f>
        <v>28600</v>
      </c>
      <c r="D156" s="57">
        <f>SUM(D151:D155)</f>
        <v>118748</v>
      </c>
      <c r="E156" s="57">
        <f>SUM(E151:E155)</f>
        <v>28600</v>
      </c>
      <c r="F156" s="57">
        <f>SUM(F151:F155)</f>
        <v>33200</v>
      </c>
    </row>
    <row r="157" spans="1:6" ht="12.75" x14ac:dyDescent="0.35">
      <c r="A157" s="8"/>
      <c r="B157" s="56" t="s">
        <v>807</v>
      </c>
      <c r="C157" s="57">
        <f>+C156+C149+C142</f>
        <v>62200</v>
      </c>
      <c r="D157" s="58">
        <f>+D156+D149+D142</f>
        <v>140853</v>
      </c>
      <c r="E157" s="57">
        <f>+E156+E149+E142</f>
        <v>62200</v>
      </c>
      <c r="F157" s="57">
        <f>+F156+F149+F142</f>
        <v>66800</v>
      </c>
    </row>
    <row r="158" spans="1:6" ht="12.75" x14ac:dyDescent="0.35">
      <c r="A158" s="8"/>
      <c r="B158" s="56" t="s">
        <v>808</v>
      </c>
      <c r="C158" s="57">
        <v>-26400</v>
      </c>
      <c r="D158" s="58">
        <f>-105935</f>
        <v>-105935</v>
      </c>
      <c r="E158" s="57">
        <v>-26400</v>
      </c>
      <c r="F158" s="57">
        <v>-26400</v>
      </c>
    </row>
    <row r="159" spans="1:6" ht="12.75" x14ac:dyDescent="0.35">
      <c r="A159" s="8"/>
      <c r="B159" s="59" t="s">
        <v>2513</v>
      </c>
      <c r="C159" s="19">
        <f>+C157+C158</f>
        <v>35800</v>
      </c>
      <c r="D159" s="19">
        <f>+D157+D158</f>
        <v>34918</v>
      </c>
      <c r="E159" s="19">
        <f>+E157+E158</f>
        <v>35800</v>
      </c>
      <c r="F159" s="19">
        <f>+F157+F158</f>
        <v>40400</v>
      </c>
    </row>
    <row r="160" spans="1:6" ht="12.75" x14ac:dyDescent="0.35">
      <c r="A160" s="8"/>
      <c r="B160" s="8"/>
      <c r="C160" s="54"/>
      <c r="D160" s="54"/>
      <c r="E160" s="54"/>
      <c r="F160" s="54"/>
    </row>
    <row r="161" spans="1:6" ht="12.75" x14ac:dyDescent="0.35">
      <c r="A161" s="8"/>
      <c r="B161" s="8"/>
      <c r="C161" s="54"/>
      <c r="D161" s="54"/>
      <c r="E161" s="54"/>
      <c r="F161" s="54"/>
    </row>
    <row r="162" spans="1:6" ht="13.15" x14ac:dyDescent="0.4">
      <c r="A162" s="5" t="s">
        <v>809</v>
      </c>
      <c r="B162" s="8"/>
      <c r="C162" s="54">
        <f>+C182</f>
        <v>262000</v>
      </c>
      <c r="D162" s="54">
        <f>+D182</f>
        <v>259000</v>
      </c>
      <c r="E162" s="54">
        <f>+E182</f>
        <v>262000</v>
      </c>
      <c r="F162" s="54">
        <f>+F182</f>
        <v>262000</v>
      </c>
    </row>
    <row r="163" spans="1:6" ht="12.75" x14ac:dyDescent="0.35">
      <c r="A163" s="8"/>
      <c r="B163" s="8"/>
      <c r="C163" s="54"/>
      <c r="D163" s="54"/>
      <c r="E163" s="54"/>
      <c r="F163" s="54"/>
    </row>
    <row r="164" spans="1:6" ht="13.15" x14ac:dyDescent="0.4">
      <c r="A164" s="8"/>
      <c r="B164" s="11" t="s">
        <v>810</v>
      </c>
      <c r="C164" s="55"/>
      <c r="D164" s="13"/>
      <c r="E164" s="55"/>
      <c r="F164" s="55"/>
    </row>
    <row r="165" spans="1:6" ht="12.75" x14ac:dyDescent="0.35">
      <c r="A165" s="8"/>
      <c r="B165" s="56" t="s">
        <v>2546</v>
      </c>
      <c r="C165" s="57">
        <v>5400</v>
      </c>
      <c r="D165" s="58">
        <v>0</v>
      </c>
      <c r="E165" s="57">
        <v>5400</v>
      </c>
      <c r="F165" s="57">
        <v>5400</v>
      </c>
    </row>
    <row r="166" spans="1:6" ht="12.75" x14ac:dyDescent="0.35">
      <c r="A166" s="8"/>
      <c r="B166" s="56" t="s">
        <v>2547</v>
      </c>
      <c r="C166" s="57">
        <v>78000</v>
      </c>
      <c r="D166" s="58">
        <v>95661</v>
      </c>
      <c r="E166" s="57">
        <v>78000</v>
      </c>
      <c r="F166" s="57">
        <v>78000</v>
      </c>
    </row>
    <row r="167" spans="1:6" ht="12.75" x14ac:dyDescent="0.35">
      <c r="A167" s="8"/>
      <c r="B167" s="56" t="s">
        <v>811</v>
      </c>
      <c r="C167" s="57">
        <v>0</v>
      </c>
      <c r="D167" s="58"/>
      <c r="E167" s="57">
        <v>0</v>
      </c>
      <c r="F167" s="57">
        <v>0</v>
      </c>
    </row>
    <row r="168" spans="1:6" ht="12.75" x14ac:dyDescent="0.35">
      <c r="A168" s="8"/>
      <c r="B168" s="56" t="s">
        <v>812</v>
      </c>
      <c r="C168" s="57">
        <v>30000</v>
      </c>
      <c r="D168" s="58">
        <v>25105</v>
      </c>
      <c r="E168" s="57">
        <v>30000</v>
      </c>
      <c r="F168" s="57">
        <v>30000</v>
      </c>
    </row>
    <row r="169" spans="1:6" ht="12.75" x14ac:dyDescent="0.35">
      <c r="A169" s="8"/>
      <c r="B169" s="56" t="s">
        <v>813</v>
      </c>
      <c r="C169" s="57">
        <v>8000</v>
      </c>
      <c r="D169" s="58">
        <v>5687</v>
      </c>
      <c r="E169" s="57">
        <v>8000</v>
      </c>
      <c r="F169" s="57">
        <v>8000</v>
      </c>
    </row>
    <row r="170" spans="1:6" ht="12.75" x14ac:dyDescent="0.35">
      <c r="A170" s="8"/>
      <c r="B170" s="56" t="s">
        <v>814</v>
      </c>
      <c r="C170" s="57">
        <v>32500</v>
      </c>
      <c r="D170" s="58">
        <f>20733+10082</f>
        <v>30815</v>
      </c>
      <c r="E170" s="57">
        <v>22500</v>
      </c>
      <c r="F170" s="57">
        <v>22500</v>
      </c>
    </row>
    <row r="171" spans="1:6" ht="12.75" x14ac:dyDescent="0.35">
      <c r="A171" s="8"/>
      <c r="B171" s="56" t="s">
        <v>815</v>
      </c>
      <c r="C171" s="57"/>
      <c r="D171" s="58"/>
      <c r="E171" s="57"/>
      <c r="F171" s="57"/>
    </row>
    <row r="172" spans="1:6" ht="12.75" x14ac:dyDescent="0.35">
      <c r="A172" s="8"/>
      <c r="B172" s="56" t="s">
        <v>816</v>
      </c>
      <c r="C172" s="57">
        <v>45000</v>
      </c>
      <c r="D172" s="58">
        <f>23987+20000</f>
        <v>43987</v>
      </c>
      <c r="E172" s="57">
        <v>45000</v>
      </c>
      <c r="F172" s="57">
        <v>45000</v>
      </c>
    </row>
    <row r="173" spans="1:6" ht="12.75" x14ac:dyDescent="0.35">
      <c r="A173" s="8"/>
      <c r="B173" s="56" t="s">
        <v>817</v>
      </c>
      <c r="C173" s="57">
        <v>0</v>
      </c>
      <c r="D173" s="58"/>
      <c r="E173" s="57">
        <v>0</v>
      </c>
      <c r="F173" s="57">
        <v>0</v>
      </c>
    </row>
    <row r="174" spans="1:6" ht="12.75" x14ac:dyDescent="0.35">
      <c r="A174" s="8"/>
      <c r="B174" s="56" t="s">
        <v>818</v>
      </c>
      <c r="C174" s="57">
        <v>18000</v>
      </c>
      <c r="D174" s="58">
        <v>24689</v>
      </c>
      <c r="E174" s="57">
        <v>18000</v>
      </c>
      <c r="F174" s="57">
        <v>18000</v>
      </c>
    </row>
    <row r="175" spans="1:6" ht="12.75" x14ac:dyDescent="0.35">
      <c r="A175" s="8"/>
      <c r="B175" s="56" t="s">
        <v>819</v>
      </c>
      <c r="C175" s="57">
        <v>18000</v>
      </c>
      <c r="D175" s="58">
        <f>5592+5000</f>
        <v>10592</v>
      </c>
      <c r="E175" s="57">
        <v>18000</v>
      </c>
      <c r="F175" s="57">
        <v>18000</v>
      </c>
    </row>
    <row r="176" spans="1:6" ht="12.75" x14ac:dyDescent="0.35">
      <c r="A176" s="8"/>
      <c r="B176" s="56" t="s">
        <v>820</v>
      </c>
      <c r="C176" s="57">
        <v>24000</v>
      </c>
      <c r="D176" s="58">
        <f>1000+20000+564</f>
        <v>21564</v>
      </c>
      <c r="E176" s="57">
        <v>24000</v>
      </c>
      <c r="F176" s="57">
        <v>24000</v>
      </c>
    </row>
    <row r="177" spans="1:6" ht="12.75" x14ac:dyDescent="0.35">
      <c r="A177" s="8"/>
      <c r="B177" s="56" t="s">
        <v>821</v>
      </c>
      <c r="C177" s="57"/>
      <c r="D177" s="58"/>
      <c r="E177" s="57"/>
      <c r="F177" s="57"/>
    </row>
    <row r="178" spans="1:6" ht="12.75" x14ac:dyDescent="0.35">
      <c r="A178" s="8"/>
      <c r="B178" s="56" t="s">
        <v>822</v>
      </c>
      <c r="C178" s="57">
        <v>3100</v>
      </c>
      <c r="D178" s="58">
        <v>900</v>
      </c>
      <c r="E178" s="57">
        <f>15000-1900</f>
        <v>13100</v>
      </c>
      <c r="F178" s="57">
        <f>15000-1900</f>
        <v>13100</v>
      </c>
    </row>
    <row r="179" spans="1:6" ht="12.75" x14ac:dyDescent="0.35">
      <c r="A179" s="8"/>
      <c r="B179" s="56" t="s">
        <v>1382</v>
      </c>
      <c r="C179" s="57">
        <f>SUM(C165:C178)</f>
        <v>262000</v>
      </c>
      <c r="D179" s="57">
        <f>SUM(D165:D178)</f>
        <v>259000</v>
      </c>
      <c r="E179" s="57">
        <f>SUM(E165:E178)</f>
        <v>262000</v>
      </c>
      <c r="F179" s="57">
        <f>SUM(F165:F178)</f>
        <v>262000</v>
      </c>
    </row>
    <row r="180" spans="1:6" ht="12.75" x14ac:dyDescent="0.35">
      <c r="A180" s="8"/>
      <c r="B180" s="56" t="s">
        <v>823</v>
      </c>
      <c r="C180" s="57">
        <v>0</v>
      </c>
      <c r="D180" s="58"/>
      <c r="E180" s="57">
        <v>0</v>
      </c>
      <c r="F180" s="57">
        <v>0</v>
      </c>
    </row>
    <row r="181" spans="1:6" ht="12.75" x14ac:dyDescent="0.35">
      <c r="A181" s="8"/>
      <c r="B181" s="56" t="s">
        <v>824</v>
      </c>
      <c r="C181" s="57">
        <v>0</v>
      </c>
      <c r="D181" s="58"/>
      <c r="E181" s="57">
        <v>0</v>
      </c>
      <c r="F181" s="57">
        <v>0</v>
      </c>
    </row>
    <row r="182" spans="1:6" ht="12.75" x14ac:dyDescent="0.35">
      <c r="A182" s="8"/>
      <c r="B182" s="59" t="s">
        <v>2513</v>
      </c>
      <c r="C182" s="19">
        <f>SUM(C179:C181)</f>
        <v>262000</v>
      </c>
      <c r="D182" s="19">
        <f>SUM(D179:D181)</f>
        <v>259000</v>
      </c>
      <c r="E182" s="19">
        <f>SUM(E179:E181)</f>
        <v>262000</v>
      </c>
      <c r="F182" s="19">
        <f>SUM(F179:F181)</f>
        <v>262000</v>
      </c>
    </row>
    <row r="183" spans="1:6" ht="12.75" x14ac:dyDescent="0.35">
      <c r="A183" s="8"/>
      <c r="B183" s="8"/>
      <c r="C183" s="54"/>
      <c r="D183" s="54"/>
      <c r="E183" s="54"/>
      <c r="F183" s="54"/>
    </row>
    <row r="184" spans="1:6" ht="13.15" x14ac:dyDescent="0.4">
      <c r="A184" s="5" t="s">
        <v>825</v>
      </c>
      <c r="B184" s="8"/>
      <c r="C184" s="54">
        <v>4000</v>
      </c>
      <c r="D184" s="54">
        <v>2900</v>
      </c>
      <c r="E184" s="54">
        <v>4000</v>
      </c>
      <c r="F184" s="54">
        <v>4000</v>
      </c>
    </row>
    <row r="185" spans="1:6" ht="12.75" x14ac:dyDescent="0.35">
      <c r="A185" s="8"/>
      <c r="B185" s="8"/>
      <c r="C185" s="54"/>
      <c r="D185" s="54"/>
      <c r="E185" s="54"/>
      <c r="F185" s="54"/>
    </row>
    <row r="186" spans="1:6" ht="13.15" x14ac:dyDescent="0.4">
      <c r="A186" s="5" t="s">
        <v>826</v>
      </c>
      <c r="B186" s="8"/>
      <c r="C186" s="54">
        <v>250</v>
      </c>
      <c r="D186" s="54">
        <v>60</v>
      </c>
      <c r="E186" s="54">
        <v>250</v>
      </c>
      <c r="F186" s="54">
        <v>350</v>
      </c>
    </row>
    <row r="187" spans="1:6" ht="12.75" x14ac:dyDescent="0.35">
      <c r="A187" s="8"/>
      <c r="B187" s="8"/>
      <c r="C187" s="54"/>
      <c r="D187" s="54"/>
      <c r="E187" s="54"/>
      <c r="F187" s="54"/>
    </row>
    <row r="188" spans="1:6" ht="13.15" x14ac:dyDescent="0.4">
      <c r="A188" s="5" t="s">
        <v>732</v>
      </c>
      <c r="B188" s="8"/>
      <c r="C188" s="54">
        <v>3000</v>
      </c>
      <c r="D188" s="54"/>
      <c r="E188" s="54">
        <v>3000</v>
      </c>
      <c r="F188" s="54">
        <v>3000</v>
      </c>
    </row>
    <row r="189" spans="1:6" ht="12.75" x14ac:dyDescent="0.35">
      <c r="A189" s="8"/>
      <c r="B189" s="8"/>
      <c r="C189" s="54"/>
      <c r="D189" s="54"/>
      <c r="E189" s="54"/>
      <c r="F189" s="54"/>
    </row>
    <row r="190" spans="1:6" ht="12.75" x14ac:dyDescent="0.35">
      <c r="A190" s="8"/>
      <c r="B190" s="8"/>
      <c r="C190" s="54"/>
      <c r="D190" s="54"/>
      <c r="E190" s="54"/>
      <c r="F190" s="54"/>
    </row>
    <row r="191" spans="1:6" ht="13.15" x14ac:dyDescent="0.4">
      <c r="A191" s="5" t="s">
        <v>827</v>
      </c>
      <c r="B191" s="8"/>
      <c r="C191" s="18">
        <f>+C188+C186+C184+C162+C130+C128+C125</f>
        <v>312750</v>
      </c>
      <c r="D191" s="18">
        <f>+D188+D186+D184+D162+D130+D128+D125</f>
        <v>304712</v>
      </c>
      <c r="E191" s="18">
        <f>+E188+E186+E184+E162+E130+E128+E125</f>
        <v>312750</v>
      </c>
      <c r="F191" s="18">
        <f>+F188+F186+F184+F162+F130+F128+F125</f>
        <v>320950</v>
      </c>
    </row>
    <row r="192" spans="1:6" ht="12.75" x14ac:dyDescent="0.35">
      <c r="A192" s="8"/>
      <c r="B192" s="8"/>
      <c r="C192" s="54"/>
      <c r="D192" s="54"/>
      <c r="E192" s="54"/>
      <c r="F192" s="54"/>
    </row>
    <row r="193" spans="1:6" ht="13.15" x14ac:dyDescent="0.4">
      <c r="A193" s="5" t="s">
        <v>828</v>
      </c>
      <c r="B193" s="8"/>
      <c r="C193" s="54"/>
      <c r="D193" s="54"/>
      <c r="E193" s="54"/>
      <c r="F193" s="54"/>
    </row>
    <row r="194" spans="1:6" ht="12.75" x14ac:dyDescent="0.35">
      <c r="A194" s="8"/>
      <c r="B194" s="8"/>
      <c r="C194" s="54"/>
      <c r="D194" s="54"/>
      <c r="E194" s="54"/>
      <c r="F194" s="54"/>
    </row>
    <row r="195" spans="1:6" ht="13.15" x14ac:dyDescent="0.4">
      <c r="A195" s="5" t="s">
        <v>829</v>
      </c>
      <c r="B195" s="8"/>
      <c r="C195" s="54">
        <f>+C235</f>
        <v>-5500</v>
      </c>
      <c r="D195" s="54">
        <f>+D235</f>
        <v>2838</v>
      </c>
      <c r="E195" s="54">
        <f>+E235</f>
        <v>-5500</v>
      </c>
      <c r="F195" s="54">
        <f>+F235</f>
        <v>-5500</v>
      </c>
    </row>
    <row r="196" spans="1:6" ht="12.75" x14ac:dyDescent="0.35">
      <c r="A196" s="8"/>
      <c r="B196" s="8"/>
      <c r="C196" s="54"/>
      <c r="D196" s="54"/>
      <c r="E196" s="54"/>
      <c r="F196" s="54"/>
    </row>
    <row r="197" spans="1:6" ht="12.75" x14ac:dyDescent="0.35">
      <c r="A197" s="8"/>
      <c r="B197" s="8"/>
      <c r="C197" s="54"/>
      <c r="D197" s="54"/>
      <c r="E197" s="54"/>
      <c r="F197" s="54"/>
    </row>
    <row r="198" spans="1:6" ht="13.15" x14ac:dyDescent="0.4">
      <c r="A198" s="8"/>
      <c r="B198" s="11" t="s">
        <v>830</v>
      </c>
      <c r="C198" s="55"/>
      <c r="D198" s="20"/>
      <c r="E198" s="55"/>
      <c r="F198" s="55"/>
    </row>
    <row r="199" spans="1:6" ht="12.75" x14ac:dyDescent="0.35">
      <c r="A199" s="8"/>
      <c r="B199" s="56" t="s">
        <v>831</v>
      </c>
      <c r="C199" s="57"/>
      <c r="D199" s="61"/>
      <c r="E199" s="57"/>
      <c r="F199" s="57"/>
    </row>
    <row r="200" spans="1:6" ht="12.75" x14ac:dyDescent="0.35">
      <c r="A200" s="8"/>
      <c r="B200" s="56" t="s">
        <v>832</v>
      </c>
      <c r="C200" s="57">
        <v>4500</v>
      </c>
      <c r="D200" s="61">
        <v>-1500</v>
      </c>
      <c r="E200" s="57">
        <v>4500</v>
      </c>
      <c r="F200" s="57">
        <v>4500</v>
      </c>
    </row>
    <row r="201" spans="1:6" ht="12.75" x14ac:dyDescent="0.35">
      <c r="A201" s="8"/>
      <c r="B201" s="56" t="s">
        <v>833</v>
      </c>
      <c r="C201" s="57"/>
      <c r="D201" s="61"/>
      <c r="E201" s="57"/>
      <c r="F201" s="57"/>
    </row>
    <row r="202" spans="1:6" ht="12.75" x14ac:dyDescent="0.35">
      <c r="A202" s="8"/>
      <c r="B202" s="56" t="s">
        <v>834</v>
      </c>
      <c r="C202" s="57">
        <v>1000</v>
      </c>
      <c r="D202" s="61">
        <v>720</v>
      </c>
      <c r="E202" s="57">
        <v>1000</v>
      </c>
      <c r="F202" s="57">
        <v>1000</v>
      </c>
    </row>
    <row r="203" spans="1:6" ht="12.75" x14ac:dyDescent="0.35">
      <c r="A203" s="8"/>
      <c r="B203" s="56" t="s">
        <v>835</v>
      </c>
      <c r="C203" s="57">
        <v>500</v>
      </c>
      <c r="D203" s="61"/>
      <c r="E203" s="57">
        <v>500</v>
      </c>
      <c r="F203" s="57">
        <v>500</v>
      </c>
    </row>
    <row r="204" spans="1:6" ht="12.75" x14ac:dyDescent="0.35">
      <c r="A204" s="8"/>
      <c r="B204" s="56" t="s">
        <v>836</v>
      </c>
      <c r="C204" s="57">
        <v>4500</v>
      </c>
      <c r="D204" s="61"/>
      <c r="E204" s="57">
        <v>4500</v>
      </c>
      <c r="F204" s="57">
        <v>4500</v>
      </c>
    </row>
    <row r="205" spans="1:6" ht="12.75" x14ac:dyDescent="0.35">
      <c r="A205" s="8"/>
      <c r="B205" s="56" t="s">
        <v>837</v>
      </c>
      <c r="C205" s="57">
        <v>28000</v>
      </c>
      <c r="D205" s="61">
        <v>26781</v>
      </c>
      <c r="E205" s="57">
        <v>28000</v>
      </c>
      <c r="F205" s="57">
        <v>28000</v>
      </c>
    </row>
    <row r="206" spans="1:6" ht="12.75" x14ac:dyDescent="0.35">
      <c r="A206" s="8"/>
      <c r="B206" s="56" t="s">
        <v>838</v>
      </c>
      <c r="C206" s="57">
        <v>10000</v>
      </c>
      <c r="D206" s="61">
        <v>5949</v>
      </c>
      <c r="E206" s="57">
        <v>6000</v>
      </c>
      <c r="F206" s="57">
        <v>6000</v>
      </c>
    </row>
    <row r="207" spans="1:6" ht="12.75" x14ac:dyDescent="0.35">
      <c r="A207" s="8"/>
      <c r="B207" s="56" t="s">
        <v>839</v>
      </c>
      <c r="C207" s="57"/>
      <c r="D207" s="61"/>
      <c r="E207" s="57"/>
      <c r="F207" s="57"/>
    </row>
    <row r="208" spans="1:6" ht="12.75" x14ac:dyDescent="0.35">
      <c r="A208" s="8"/>
      <c r="B208" s="56" t="s">
        <v>840</v>
      </c>
      <c r="C208" s="57"/>
      <c r="D208" s="61"/>
      <c r="E208" s="57"/>
      <c r="F208" s="57"/>
    </row>
    <row r="209" spans="1:6" ht="12.75" x14ac:dyDescent="0.35">
      <c r="A209" s="8"/>
      <c r="B209" s="56" t="s">
        <v>841</v>
      </c>
      <c r="C209" s="57">
        <v>28000</v>
      </c>
      <c r="D209" s="61">
        <v>25938</v>
      </c>
      <c r="E209" s="57">
        <v>28000</v>
      </c>
      <c r="F209" s="57">
        <v>28000</v>
      </c>
    </row>
    <row r="210" spans="1:6" ht="12.75" x14ac:dyDescent="0.35">
      <c r="A210" s="8"/>
      <c r="B210" s="56" t="s">
        <v>842</v>
      </c>
      <c r="C210" s="57">
        <f>42000-15000</f>
        <v>27000</v>
      </c>
      <c r="D210" s="61">
        <v>17598</v>
      </c>
      <c r="E210" s="57">
        <v>27000</v>
      </c>
      <c r="F210" s="57">
        <v>27000</v>
      </c>
    </row>
    <row r="211" spans="1:6" ht="12.75" x14ac:dyDescent="0.35">
      <c r="A211" s="8"/>
      <c r="B211" s="56" t="s">
        <v>843</v>
      </c>
      <c r="C211" s="57">
        <v>600</v>
      </c>
      <c r="D211" s="61">
        <v>255</v>
      </c>
      <c r="E211" s="57">
        <v>600</v>
      </c>
      <c r="F211" s="57">
        <v>600</v>
      </c>
    </row>
    <row r="212" spans="1:6" ht="12.75" x14ac:dyDescent="0.35">
      <c r="A212" s="8"/>
      <c r="B212" s="56" t="s">
        <v>844</v>
      </c>
      <c r="C212" s="57">
        <v>25056</v>
      </c>
      <c r="D212" s="61">
        <v>25770</v>
      </c>
      <c r="E212" s="57">
        <v>25000</v>
      </c>
      <c r="F212" s="57">
        <v>25000</v>
      </c>
    </row>
    <row r="213" spans="1:6" ht="12.75" x14ac:dyDescent="0.35">
      <c r="A213" s="8"/>
      <c r="B213" s="56" t="s">
        <v>845</v>
      </c>
      <c r="C213" s="57">
        <v>15500</v>
      </c>
      <c r="D213" s="61">
        <v>11122</v>
      </c>
      <c r="E213" s="57">
        <v>15500</v>
      </c>
      <c r="F213" s="57">
        <v>15500</v>
      </c>
    </row>
    <row r="214" spans="1:6" ht="12.75" x14ac:dyDescent="0.35">
      <c r="A214" s="8"/>
      <c r="B214" s="56" t="s">
        <v>846</v>
      </c>
      <c r="C214" s="57">
        <v>500</v>
      </c>
      <c r="D214" s="61">
        <v>825</v>
      </c>
      <c r="E214" s="57">
        <v>500</v>
      </c>
      <c r="F214" s="57">
        <v>500</v>
      </c>
    </row>
    <row r="215" spans="1:6" ht="12.75" x14ac:dyDescent="0.35">
      <c r="A215" s="8"/>
      <c r="B215" s="56" t="s">
        <v>847</v>
      </c>
      <c r="C215" s="57">
        <v>37000</v>
      </c>
      <c r="D215" s="61">
        <f>30000+4484+3000</f>
        <v>37484</v>
      </c>
      <c r="E215" s="57">
        <v>20000</v>
      </c>
      <c r="F215" s="57">
        <v>20000</v>
      </c>
    </row>
    <row r="216" spans="1:6" ht="12.75" x14ac:dyDescent="0.35">
      <c r="A216" s="8"/>
      <c r="B216" s="56" t="s">
        <v>848</v>
      </c>
      <c r="C216" s="57">
        <v>20500</v>
      </c>
      <c r="D216" s="61">
        <v>10500</v>
      </c>
      <c r="E216" s="57">
        <v>10500</v>
      </c>
      <c r="F216" s="57">
        <v>10500</v>
      </c>
    </row>
    <row r="217" spans="1:6" ht="12.75" x14ac:dyDescent="0.35">
      <c r="A217" s="8"/>
      <c r="B217" s="56" t="s">
        <v>849</v>
      </c>
      <c r="C217" s="57">
        <v>4000</v>
      </c>
      <c r="D217" s="61">
        <v>4000</v>
      </c>
      <c r="E217" s="57">
        <v>4000</v>
      </c>
      <c r="F217" s="57">
        <v>4000</v>
      </c>
    </row>
    <row r="218" spans="1:6" ht="12.75" x14ac:dyDescent="0.35">
      <c r="A218" s="8"/>
      <c r="B218" s="56" t="s">
        <v>850</v>
      </c>
      <c r="C218" s="57">
        <f>7000+1000+2000</f>
        <v>10000</v>
      </c>
      <c r="D218" s="61">
        <v>7287</v>
      </c>
      <c r="E218" s="57">
        <v>10000</v>
      </c>
      <c r="F218" s="57">
        <v>10000</v>
      </c>
    </row>
    <row r="219" spans="1:6" ht="12.75" x14ac:dyDescent="0.35">
      <c r="A219" s="8"/>
      <c r="B219" s="56" t="s">
        <v>851</v>
      </c>
      <c r="C219" s="57">
        <v>4250</v>
      </c>
      <c r="D219" s="61">
        <v>3442</v>
      </c>
      <c r="E219" s="57">
        <v>3000</v>
      </c>
      <c r="F219" s="57">
        <v>3000</v>
      </c>
    </row>
    <row r="220" spans="1:6" ht="12.75" x14ac:dyDescent="0.35">
      <c r="A220" s="8"/>
      <c r="B220" s="56" t="s">
        <v>852</v>
      </c>
      <c r="C220" s="57">
        <v>15219</v>
      </c>
      <c r="D220" s="61">
        <v>11190</v>
      </c>
      <c r="E220" s="57">
        <v>15300</v>
      </c>
      <c r="F220" s="57">
        <v>19300</v>
      </c>
    </row>
    <row r="221" spans="1:6" ht="12.75" x14ac:dyDescent="0.35">
      <c r="A221" s="8"/>
      <c r="B221" s="56" t="s">
        <v>853</v>
      </c>
      <c r="C221" s="57"/>
      <c r="D221" s="61"/>
      <c r="E221" s="57"/>
      <c r="F221" s="57"/>
    </row>
    <row r="222" spans="1:6" ht="12.75" x14ac:dyDescent="0.35">
      <c r="A222" s="8"/>
      <c r="B222" s="56" t="s">
        <v>854</v>
      </c>
      <c r="C222" s="57"/>
      <c r="D222" s="61">
        <v>4061</v>
      </c>
      <c r="E222" s="57">
        <v>4000</v>
      </c>
      <c r="F222" s="57">
        <v>4000</v>
      </c>
    </row>
    <row r="223" spans="1:6" ht="12.75" x14ac:dyDescent="0.35">
      <c r="A223" s="8"/>
      <c r="B223" s="56" t="s">
        <v>1394</v>
      </c>
      <c r="C223" s="57"/>
      <c r="D223" s="61">
        <v>17893</v>
      </c>
      <c r="E223" s="57">
        <v>15000</v>
      </c>
      <c r="F223" s="57">
        <v>15000</v>
      </c>
    </row>
    <row r="224" spans="1:6" ht="12.75" x14ac:dyDescent="0.35">
      <c r="A224" s="8"/>
      <c r="B224" s="56" t="s">
        <v>1395</v>
      </c>
      <c r="C224" s="57"/>
      <c r="D224" s="61">
        <v>39231</v>
      </c>
      <c r="E224" s="57">
        <v>31100</v>
      </c>
      <c r="F224" s="57">
        <v>31100</v>
      </c>
    </row>
    <row r="225" spans="1:6" ht="12.75" x14ac:dyDescent="0.35">
      <c r="A225" s="8"/>
      <c r="B225" s="56" t="s">
        <v>855</v>
      </c>
      <c r="C225" s="57"/>
      <c r="D225" s="8"/>
      <c r="E225" s="57"/>
      <c r="F225" s="57"/>
    </row>
    <row r="226" spans="1:6" ht="12.75" x14ac:dyDescent="0.35">
      <c r="A226" s="8"/>
      <c r="B226" s="56" t="s">
        <v>2532</v>
      </c>
      <c r="C226" s="57">
        <f>SUM(C200:C225)</f>
        <v>236125</v>
      </c>
      <c r="D226" s="61">
        <f>SUM(D200:D224)</f>
        <v>248546</v>
      </c>
      <c r="E226" s="57">
        <f>SUM(E200:E225)</f>
        <v>254000</v>
      </c>
      <c r="F226" s="57">
        <f>SUM(F200:F225)</f>
        <v>258000</v>
      </c>
    </row>
    <row r="227" spans="1:6" ht="12.75" x14ac:dyDescent="0.35">
      <c r="A227" s="8"/>
      <c r="B227" s="56" t="s">
        <v>856</v>
      </c>
      <c r="C227" s="57"/>
      <c r="D227" s="61"/>
      <c r="E227" s="57"/>
      <c r="F227" s="57"/>
    </row>
    <row r="228" spans="1:6" ht="12.75" x14ac:dyDescent="0.35">
      <c r="A228" s="8"/>
      <c r="B228" s="56" t="s">
        <v>857</v>
      </c>
      <c r="C228" s="57">
        <v>-15000</v>
      </c>
      <c r="D228" s="61">
        <v>-49378</v>
      </c>
      <c r="E228" s="57">
        <v>-15000</v>
      </c>
      <c r="F228" s="57">
        <v>-15000</v>
      </c>
    </row>
    <row r="229" spans="1:6" ht="12.75" x14ac:dyDescent="0.35">
      <c r="A229" s="8"/>
      <c r="B229" s="56" t="s">
        <v>858</v>
      </c>
      <c r="C229" s="57">
        <v>-100</v>
      </c>
      <c r="D229" s="61">
        <v>-1404</v>
      </c>
      <c r="E229" s="57">
        <v>-100</v>
      </c>
      <c r="F229" s="57">
        <v>-100</v>
      </c>
    </row>
    <row r="230" spans="1:6" ht="12.75" x14ac:dyDescent="0.35">
      <c r="A230" s="8"/>
      <c r="B230" s="56" t="s">
        <v>859</v>
      </c>
      <c r="C230" s="57">
        <f>-32000+4255</f>
        <v>-27745</v>
      </c>
      <c r="D230" s="61">
        <v>-3296</v>
      </c>
      <c r="E230" s="57">
        <v>-32000</v>
      </c>
      <c r="F230" s="57">
        <v>-32000</v>
      </c>
    </row>
    <row r="231" spans="1:6" ht="12.75" x14ac:dyDescent="0.35">
      <c r="A231" s="8"/>
      <c r="B231" s="56" t="s">
        <v>860</v>
      </c>
      <c r="C231" s="57">
        <v>-5400</v>
      </c>
      <c r="D231" s="61"/>
      <c r="E231" s="57">
        <v>-5400</v>
      </c>
      <c r="F231" s="57">
        <v>-5400</v>
      </c>
    </row>
    <row r="232" spans="1:6" ht="12.75" x14ac:dyDescent="0.35">
      <c r="A232" s="8"/>
      <c r="B232" s="56" t="s">
        <v>861</v>
      </c>
      <c r="C232" s="57">
        <v>-7000</v>
      </c>
      <c r="D232" s="61">
        <v>-5250</v>
      </c>
      <c r="E232" s="57">
        <v>-7000</v>
      </c>
      <c r="F232" s="57">
        <v>-7000</v>
      </c>
    </row>
    <row r="233" spans="1:6" ht="12.75" x14ac:dyDescent="0.35">
      <c r="A233" s="8"/>
      <c r="B233" s="56" t="s">
        <v>862</v>
      </c>
      <c r="C233" s="57">
        <f>-165000-17125-4255</f>
        <v>-186380</v>
      </c>
      <c r="D233" s="61">
        <v>-186380</v>
      </c>
      <c r="E233" s="57">
        <v>-200000</v>
      </c>
      <c r="F233" s="57">
        <v>-204000</v>
      </c>
    </row>
    <row r="234" spans="1:6" ht="12.75" x14ac:dyDescent="0.35">
      <c r="A234" s="8"/>
      <c r="B234" s="56" t="s">
        <v>863</v>
      </c>
      <c r="C234" s="57">
        <f>SUM(C228:C233)</f>
        <v>-241625</v>
      </c>
      <c r="D234" s="61">
        <f>SUM(D228:D233)</f>
        <v>-245708</v>
      </c>
      <c r="E234" s="57">
        <f>SUM(E228:E233)</f>
        <v>-259500</v>
      </c>
      <c r="F234" s="57">
        <f>SUM(F228:F233)</f>
        <v>-263500</v>
      </c>
    </row>
    <row r="235" spans="1:6" ht="12.75" x14ac:dyDescent="0.35">
      <c r="A235" s="8"/>
      <c r="B235" s="59" t="s">
        <v>2513</v>
      </c>
      <c r="C235" s="19">
        <f>+C234+C226</f>
        <v>-5500</v>
      </c>
      <c r="D235" s="62">
        <f>+D234+D226</f>
        <v>2838</v>
      </c>
      <c r="E235" s="19">
        <f>+E234+E226</f>
        <v>-5500</v>
      </c>
      <c r="F235" s="19">
        <f>+F234+F226</f>
        <v>-5500</v>
      </c>
    </row>
    <row r="236" spans="1:6" ht="12.75" x14ac:dyDescent="0.35">
      <c r="A236" s="8"/>
      <c r="B236" s="8"/>
      <c r="C236" s="54"/>
      <c r="D236" s="54"/>
      <c r="E236" s="54"/>
      <c r="F236" s="54"/>
    </row>
    <row r="237" spans="1:6" ht="13.15" x14ac:dyDescent="0.4">
      <c r="A237" s="5" t="s">
        <v>864</v>
      </c>
      <c r="B237" s="8"/>
      <c r="C237" s="54">
        <v>24000</v>
      </c>
      <c r="D237" s="54">
        <v>24000</v>
      </c>
      <c r="E237" s="54">
        <v>24000</v>
      </c>
      <c r="F237" s="54">
        <v>24000</v>
      </c>
    </row>
    <row r="238" spans="1:6" ht="12.75" x14ac:dyDescent="0.35">
      <c r="A238" s="8"/>
      <c r="B238" s="8"/>
      <c r="C238" s="54"/>
      <c r="D238" s="54"/>
      <c r="E238" s="54"/>
      <c r="F238" s="54"/>
    </row>
    <row r="239" spans="1:6" ht="13.15" x14ac:dyDescent="0.4">
      <c r="A239" s="5" t="s">
        <v>865</v>
      </c>
      <c r="B239" s="8"/>
      <c r="C239" s="54">
        <v>24000</v>
      </c>
      <c r="D239" s="54">
        <v>24000</v>
      </c>
      <c r="E239" s="54">
        <v>24000</v>
      </c>
      <c r="F239" s="54">
        <v>24000</v>
      </c>
    </row>
    <row r="240" spans="1:6" ht="12.75" x14ac:dyDescent="0.35">
      <c r="A240" s="8"/>
      <c r="B240" s="8"/>
      <c r="C240" s="54"/>
      <c r="D240" s="54"/>
      <c r="E240" s="54"/>
      <c r="F240" s="54"/>
    </row>
    <row r="241" spans="1:8" ht="13.15" x14ac:dyDescent="0.4">
      <c r="A241" s="5" t="s">
        <v>866</v>
      </c>
      <c r="B241" s="8"/>
      <c r="C241" s="54">
        <v>3500</v>
      </c>
      <c r="D241" s="54">
        <v>3500</v>
      </c>
      <c r="E241" s="54">
        <v>13500</v>
      </c>
      <c r="F241" s="54">
        <v>4500</v>
      </c>
    </row>
    <row r="242" spans="1:8" ht="12.75" x14ac:dyDescent="0.35">
      <c r="A242" s="8"/>
      <c r="B242" s="8"/>
      <c r="C242" s="54"/>
      <c r="D242" s="54"/>
      <c r="E242" s="54"/>
      <c r="F242" s="54"/>
    </row>
    <row r="243" spans="1:8" ht="13.15" x14ac:dyDescent="0.4">
      <c r="A243" s="5" t="s">
        <v>867</v>
      </c>
      <c r="B243" s="8"/>
      <c r="C243" s="54">
        <f>+C277</f>
        <v>175000</v>
      </c>
      <c r="D243" s="54">
        <f>+D277</f>
        <v>175000</v>
      </c>
      <c r="E243" s="54">
        <f>+E277</f>
        <v>175000</v>
      </c>
      <c r="F243" s="54">
        <f>+F277</f>
        <v>175000</v>
      </c>
    </row>
    <row r="244" spans="1:8" ht="13.15" x14ac:dyDescent="0.4">
      <c r="A244" s="8"/>
      <c r="B244" s="11" t="s">
        <v>868</v>
      </c>
      <c r="C244" s="55"/>
      <c r="D244" s="20"/>
      <c r="E244" s="55"/>
      <c r="F244" s="55"/>
    </row>
    <row r="245" spans="1:8" ht="12.75" x14ac:dyDescent="0.35">
      <c r="A245" s="8"/>
      <c r="B245" s="56" t="s">
        <v>869</v>
      </c>
      <c r="C245" s="57"/>
      <c r="D245" s="61"/>
      <c r="E245" s="57"/>
      <c r="F245" s="57"/>
    </row>
    <row r="246" spans="1:8" ht="12.75" x14ac:dyDescent="0.35">
      <c r="A246" s="8"/>
      <c r="B246" s="56" t="s">
        <v>870</v>
      </c>
      <c r="C246" s="57"/>
      <c r="D246" s="61"/>
      <c r="E246" s="57"/>
      <c r="F246" s="57"/>
    </row>
    <row r="247" spans="1:8" ht="12.75" x14ac:dyDescent="0.35">
      <c r="A247" s="8"/>
      <c r="B247" s="56" t="s">
        <v>871</v>
      </c>
      <c r="C247" s="57">
        <v>23516</v>
      </c>
      <c r="D247" s="61">
        <v>31094</v>
      </c>
      <c r="E247" s="57">
        <v>23516</v>
      </c>
      <c r="F247" s="57">
        <v>23516</v>
      </c>
    </row>
    <row r="248" spans="1:8" ht="12.75" x14ac:dyDescent="0.35">
      <c r="A248" s="8"/>
      <c r="B248" s="56" t="s">
        <v>872</v>
      </c>
      <c r="C248" s="57">
        <v>-13000</v>
      </c>
      <c r="D248" s="61">
        <v>-10000</v>
      </c>
      <c r="E248" s="57">
        <v>-13000</v>
      </c>
      <c r="F248" s="57">
        <v>-13000</v>
      </c>
    </row>
    <row r="249" spans="1:8" ht="12.75" x14ac:dyDescent="0.35">
      <c r="A249" s="8"/>
      <c r="B249" s="56" t="s">
        <v>873</v>
      </c>
      <c r="C249" s="57">
        <v>-6516</v>
      </c>
      <c r="D249" s="61"/>
      <c r="E249" s="57">
        <v>-6516</v>
      </c>
      <c r="F249" s="57">
        <v>-6516</v>
      </c>
    </row>
    <row r="250" spans="1:8" ht="12.75" x14ac:dyDescent="0.35">
      <c r="A250" s="8"/>
      <c r="B250" s="56" t="s">
        <v>874</v>
      </c>
      <c r="C250" s="57">
        <v>-4000</v>
      </c>
      <c r="D250" s="61">
        <v>-2937</v>
      </c>
      <c r="E250" s="57">
        <v>-4000</v>
      </c>
      <c r="F250" s="57">
        <v>-4000</v>
      </c>
      <c r="G250" s="25"/>
      <c r="H250" s="25"/>
    </row>
    <row r="251" spans="1:8" ht="12.75" x14ac:dyDescent="0.35">
      <c r="A251" s="8"/>
      <c r="B251" s="56" t="s">
        <v>875</v>
      </c>
      <c r="C251" s="57"/>
      <c r="D251" s="61"/>
      <c r="E251" s="57"/>
      <c r="F251" s="57"/>
    </row>
    <row r="252" spans="1:8" ht="12.75" x14ac:dyDescent="0.35">
      <c r="A252" s="8"/>
      <c r="B252" s="56" t="s">
        <v>876</v>
      </c>
      <c r="C252" s="57">
        <v>102000</v>
      </c>
      <c r="D252" s="61">
        <v>107508</v>
      </c>
      <c r="E252" s="57">
        <v>102000</v>
      </c>
      <c r="F252" s="57">
        <v>102000</v>
      </c>
    </row>
    <row r="253" spans="1:8" ht="12.75" x14ac:dyDescent="0.35">
      <c r="A253" s="8"/>
      <c r="B253" s="56" t="s">
        <v>877</v>
      </c>
      <c r="C253" s="57"/>
      <c r="D253" s="61"/>
      <c r="E253" s="57"/>
      <c r="F253" s="57"/>
    </row>
    <row r="254" spans="1:8" ht="12.75" x14ac:dyDescent="0.35">
      <c r="A254" s="8"/>
      <c r="B254" s="56" t="s">
        <v>878</v>
      </c>
      <c r="C254" s="57">
        <v>16284</v>
      </c>
      <c r="D254" s="61">
        <v>16265</v>
      </c>
      <c r="E254" s="57">
        <v>16284</v>
      </c>
      <c r="F254" s="57">
        <v>16284</v>
      </c>
    </row>
    <row r="255" spans="1:8" ht="12.75" x14ac:dyDescent="0.35">
      <c r="A255" s="8"/>
      <c r="B255" s="56" t="s">
        <v>879</v>
      </c>
      <c r="C255" s="57">
        <v>7000</v>
      </c>
      <c r="D255" s="61">
        <v>12045</v>
      </c>
      <c r="E255" s="57">
        <v>7000</v>
      </c>
      <c r="F255" s="57">
        <v>7000</v>
      </c>
    </row>
    <row r="256" spans="1:8" ht="12.75" x14ac:dyDescent="0.35">
      <c r="A256" s="8"/>
      <c r="B256" s="56" t="s">
        <v>880</v>
      </c>
      <c r="C256" s="57">
        <v>8070</v>
      </c>
      <c r="D256" s="61">
        <v>6812</v>
      </c>
      <c r="E256" s="57">
        <v>8070</v>
      </c>
      <c r="F256" s="57">
        <v>8070</v>
      </c>
    </row>
    <row r="257" spans="1:8" ht="12.75" x14ac:dyDescent="0.35">
      <c r="A257" s="8"/>
      <c r="B257" s="56" t="s">
        <v>881</v>
      </c>
      <c r="C257" s="57">
        <v>5900</v>
      </c>
      <c r="D257" s="61">
        <v>3000</v>
      </c>
      <c r="E257" s="57">
        <v>5900</v>
      </c>
      <c r="F257" s="57">
        <v>5900</v>
      </c>
    </row>
    <row r="258" spans="1:8" ht="12.75" x14ac:dyDescent="0.35">
      <c r="A258" s="8"/>
      <c r="B258" s="56" t="s">
        <v>882</v>
      </c>
      <c r="C258" s="57">
        <v>12000</v>
      </c>
      <c r="D258" s="61">
        <v>12500</v>
      </c>
      <c r="E258" s="57">
        <v>12000</v>
      </c>
      <c r="F258" s="57">
        <v>12000</v>
      </c>
    </row>
    <row r="259" spans="1:8" ht="12.75" x14ac:dyDescent="0.35">
      <c r="A259" s="8"/>
      <c r="B259" s="56" t="s">
        <v>883</v>
      </c>
      <c r="C259" s="57">
        <v>13500</v>
      </c>
      <c r="D259" s="61">
        <v>13500</v>
      </c>
      <c r="E259" s="57">
        <v>13500</v>
      </c>
      <c r="F259" s="57">
        <v>13500</v>
      </c>
    </row>
    <row r="260" spans="1:8" ht="12.75" x14ac:dyDescent="0.35">
      <c r="A260" s="8"/>
      <c r="B260" s="56" t="s">
        <v>884</v>
      </c>
      <c r="C260" s="57">
        <v>15000</v>
      </c>
      <c r="D260" s="61">
        <v>19170</v>
      </c>
      <c r="E260" s="57">
        <v>15000</v>
      </c>
      <c r="F260" s="57">
        <v>15000</v>
      </c>
    </row>
    <row r="261" spans="1:8" ht="12.75" x14ac:dyDescent="0.35">
      <c r="A261" s="8"/>
      <c r="B261" s="56" t="s">
        <v>885</v>
      </c>
      <c r="C261" s="57">
        <v>425</v>
      </c>
      <c r="D261" s="61">
        <v>950</v>
      </c>
      <c r="E261" s="57">
        <v>425</v>
      </c>
      <c r="F261" s="57">
        <v>425</v>
      </c>
    </row>
    <row r="262" spans="1:8" ht="12.75" x14ac:dyDescent="0.35">
      <c r="A262" s="8"/>
      <c r="B262" s="56" t="s">
        <v>886</v>
      </c>
      <c r="C262" s="57">
        <v>3500</v>
      </c>
      <c r="D262" s="61">
        <v>3500</v>
      </c>
      <c r="E262" s="57">
        <v>3500</v>
      </c>
      <c r="F262" s="57">
        <v>3500</v>
      </c>
      <c r="H262" s="25"/>
    </row>
    <row r="263" spans="1:8" ht="12.75" x14ac:dyDescent="0.35">
      <c r="A263" s="8"/>
      <c r="B263" s="56" t="s">
        <v>887</v>
      </c>
      <c r="C263" s="57"/>
      <c r="D263" s="61"/>
      <c r="E263" s="57"/>
      <c r="F263" s="57"/>
    </row>
    <row r="264" spans="1:8" ht="12.75" x14ac:dyDescent="0.35">
      <c r="A264" s="8"/>
      <c r="B264" s="56" t="s">
        <v>888</v>
      </c>
      <c r="C264" s="57">
        <v>100</v>
      </c>
      <c r="D264" s="61">
        <v>100</v>
      </c>
      <c r="E264" s="57">
        <v>100</v>
      </c>
      <c r="F264" s="57">
        <v>100</v>
      </c>
      <c r="H264" s="25"/>
    </row>
    <row r="265" spans="1:8" ht="12.75" x14ac:dyDescent="0.35">
      <c r="A265" s="8"/>
      <c r="B265" s="56" t="s">
        <v>889</v>
      </c>
      <c r="C265" s="57">
        <f>3651*4</f>
        <v>14604</v>
      </c>
      <c r="D265" s="61">
        <f>200+2667+1592+417+731</f>
        <v>5607</v>
      </c>
      <c r="E265" s="57">
        <v>9604</v>
      </c>
      <c r="F265" s="57">
        <v>9604</v>
      </c>
    </row>
    <row r="266" spans="1:8" ht="12.75" x14ac:dyDescent="0.35">
      <c r="A266" s="8"/>
      <c r="B266" s="56" t="s">
        <v>890</v>
      </c>
      <c r="C266" s="57">
        <v>17500</v>
      </c>
      <c r="D266" s="61">
        <v>19194</v>
      </c>
      <c r="E266" s="57">
        <v>17500</v>
      </c>
      <c r="F266" s="57">
        <v>17500</v>
      </c>
    </row>
    <row r="267" spans="1:8" ht="12.75" x14ac:dyDescent="0.35">
      <c r="A267" s="8"/>
      <c r="B267" s="56" t="s">
        <v>891</v>
      </c>
      <c r="C267" s="57"/>
      <c r="D267" s="61"/>
      <c r="E267" s="57"/>
      <c r="F267" s="57"/>
    </row>
    <row r="268" spans="1:8" ht="12.75" x14ac:dyDescent="0.35">
      <c r="A268" s="8"/>
      <c r="B268" s="56" t="s">
        <v>731</v>
      </c>
      <c r="C268" s="57">
        <v>0</v>
      </c>
      <c r="D268" s="61">
        <f>3203+2063</f>
        <v>5266</v>
      </c>
      <c r="E268" s="57">
        <v>5000</v>
      </c>
      <c r="F268" s="57">
        <v>5000</v>
      </c>
    </row>
    <row r="269" spans="1:8" ht="12.75" x14ac:dyDescent="0.35">
      <c r="A269" s="8"/>
      <c r="B269" s="56" t="s">
        <v>893</v>
      </c>
      <c r="C269" s="57"/>
      <c r="D269" s="61"/>
      <c r="E269" s="57"/>
      <c r="F269" s="57"/>
    </row>
    <row r="270" spans="1:8" ht="12.75" x14ac:dyDescent="0.35">
      <c r="A270" s="8"/>
      <c r="B270" s="56" t="s">
        <v>894</v>
      </c>
      <c r="C270" s="57">
        <v>1245</v>
      </c>
      <c r="D270" s="61">
        <v>1245</v>
      </c>
      <c r="E270" s="57">
        <v>1245</v>
      </c>
      <c r="F270" s="57">
        <v>1245</v>
      </c>
    </row>
    <row r="271" spans="1:8" ht="12.75" x14ac:dyDescent="0.35">
      <c r="A271" s="8"/>
      <c r="B271" s="56" t="s">
        <v>1396</v>
      </c>
      <c r="C271" s="57">
        <v>14197</v>
      </c>
      <c r="D271" s="61">
        <v>14196</v>
      </c>
      <c r="E271" s="57">
        <v>14197</v>
      </c>
      <c r="F271" s="57">
        <v>14197</v>
      </c>
    </row>
    <row r="272" spans="1:8" ht="12.75" x14ac:dyDescent="0.35">
      <c r="A272" s="8"/>
      <c r="B272" s="63" t="s">
        <v>895</v>
      </c>
      <c r="C272" s="57">
        <v>650</v>
      </c>
      <c r="D272" s="61">
        <v>2173</v>
      </c>
      <c r="E272" s="57">
        <v>650</v>
      </c>
      <c r="F272" s="57">
        <v>650</v>
      </c>
    </row>
    <row r="273" spans="1:8" ht="12.75" x14ac:dyDescent="0.35">
      <c r="A273" s="8"/>
      <c r="B273" s="56" t="s">
        <v>896</v>
      </c>
      <c r="C273" s="57">
        <f>SUM(C247:C272)</f>
        <v>231975</v>
      </c>
      <c r="D273" s="61">
        <f>SUM(D247:D272)</f>
        <v>261188</v>
      </c>
      <c r="E273" s="57">
        <f>SUM(E247:E272)</f>
        <v>231975</v>
      </c>
      <c r="F273" s="57">
        <f>SUM(F247:F272)</f>
        <v>231975</v>
      </c>
      <c r="H273" s="25"/>
    </row>
    <row r="274" spans="1:8" ht="12.75" x14ac:dyDescent="0.35">
      <c r="A274" s="8"/>
      <c r="B274" s="56" t="s">
        <v>897</v>
      </c>
      <c r="C274" s="57">
        <f>-9425-30550</f>
        <v>-39975</v>
      </c>
      <c r="D274" s="61">
        <f>-30550-8700</f>
        <v>-39250</v>
      </c>
      <c r="E274" s="57">
        <v>-39975</v>
      </c>
      <c r="F274" s="57">
        <v>-39975</v>
      </c>
      <c r="H274" s="25"/>
    </row>
    <row r="275" spans="1:8" ht="12.75" x14ac:dyDescent="0.35">
      <c r="A275" s="8"/>
      <c r="B275" s="56" t="s">
        <v>898</v>
      </c>
      <c r="C275" s="57">
        <v>-17000</v>
      </c>
      <c r="D275" s="61">
        <v>-41698</v>
      </c>
      <c r="E275" s="57">
        <v>-17000</v>
      </c>
      <c r="F275" s="57">
        <v>-17000</v>
      </c>
      <c r="H275" s="25"/>
    </row>
    <row r="276" spans="1:8" ht="12.75" x14ac:dyDescent="0.35">
      <c r="A276" s="8"/>
      <c r="B276" s="56" t="s">
        <v>899</v>
      </c>
      <c r="C276" s="57"/>
      <c r="D276" s="61">
        <f>-5136-103</f>
        <v>-5239</v>
      </c>
      <c r="E276" s="57"/>
      <c r="F276" s="57"/>
      <c r="H276" s="25"/>
    </row>
    <row r="277" spans="1:8" ht="12.75" x14ac:dyDescent="0.35">
      <c r="A277" s="8"/>
      <c r="B277" s="59" t="s">
        <v>2513</v>
      </c>
      <c r="C277" s="19">
        <f>SUM(C273:C276)</f>
        <v>175000</v>
      </c>
      <c r="D277" s="62">
        <f>SUM(D273:D276)-1</f>
        <v>175000</v>
      </c>
      <c r="E277" s="19">
        <f>SUM(E273:E276)</f>
        <v>175000</v>
      </c>
      <c r="F277" s="19">
        <f>SUM(F273:F276)</f>
        <v>175000</v>
      </c>
    </row>
    <row r="278" spans="1:8" ht="12.75" x14ac:dyDescent="0.35">
      <c r="A278" s="8"/>
      <c r="B278" s="8"/>
      <c r="C278" s="54"/>
      <c r="D278" s="54"/>
      <c r="E278" s="54"/>
      <c r="F278" s="54"/>
    </row>
    <row r="279" spans="1:8" ht="13.15" x14ac:dyDescent="0.4">
      <c r="A279" s="5" t="s">
        <v>900</v>
      </c>
      <c r="B279" s="8"/>
      <c r="C279" s="54">
        <f>+C296</f>
        <v>44000</v>
      </c>
      <c r="D279" s="54">
        <f>+D296</f>
        <v>50464</v>
      </c>
      <c r="E279" s="54">
        <f>+E296</f>
        <v>44000</v>
      </c>
      <c r="F279" s="54">
        <f>+F296</f>
        <v>44000</v>
      </c>
    </row>
    <row r="280" spans="1:8" ht="12.75" x14ac:dyDescent="0.35">
      <c r="A280" s="8"/>
      <c r="B280" s="8"/>
      <c r="C280" s="54"/>
      <c r="D280" s="54"/>
      <c r="E280" s="54"/>
      <c r="F280" s="54"/>
    </row>
    <row r="281" spans="1:8" ht="13.15" x14ac:dyDescent="0.4">
      <c r="A281" s="8"/>
      <c r="B281" s="11" t="s">
        <v>901</v>
      </c>
      <c r="C281" s="55"/>
      <c r="D281" s="20"/>
      <c r="E281" s="55"/>
      <c r="F281" s="55"/>
    </row>
    <row r="282" spans="1:8" ht="12.75" x14ac:dyDescent="0.35">
      <c r="A282" s="8"/>
      <c r="B282" s="56" t="s">
        <v>831</v>
      </c>
      <c r="C282" s="57"/>
      <c r="D282" s="61"/>
      <c r="E282" s="57"/>
      <c r="F282" s="57"/>
    </row>
    <row r="283" spans="1:8" ht="12.75" x14ac:dyDescent="0.35">
      <c r="A283" s="8"/>
      <c r="B283" s="56" t="s">
        <v>902</v>
      </c>
      <c r="C283" s="57">
        <v>0</v>
      </c>
      <c r="D283" s="61"/>
      <c r="E283" s="57">
        <v>0</v>
      </c>
      <c r="F283" s="57">
        <v>0</v>
      </c>
    </row>
    <row r="284" spans="1:8" ht="12.75" x14ac:dyDescent="0.35">
      <c r="A284" s="8"/>
      <c r="B284" s="56" t="s">
        <v>903</v>
      </c>
      <c r="C284" s="57">
        <v>10000</v>
      </c>
      <c r="D284" s="61">
        <v>11880</v>
      </c>
      <c r="E284" s="57">
        <v>10000</v>
      </c>
      <c r="F284" s="57">
        <v>10000</v>
      </c>
    </row>
    <row r="285" spans="1:8" ht="12.75" x14ac:dyDescent="0.35">
      <c r="A285" s="8"/>
      <c r="B285" s="56" t="s">
        <v>904</v>
      </c>
      <c r="C285" s="57">
        <v>7000</v>
      </c>
      <c r="D285" s="61">
        <v>4027</v>
      </c>
      <c r="E285" s="57">
        <v>7000</v>
      </c>
      <c r="F285" s="57">
        <v>7000</v>
      </c>
    </row>
    <row r="286" spans="1:8" ht="12.75" x14ac:dyDescent="0.35">
      <c r="A286" s="8"/>
      <c r="B286" s="56" t="s">
        <v>905</v>
      </c>
      <c r="C286" s="57">
        <v>500</v>
      </c>
      <c r="D286" s="61">
        <v>0</v>
      </c>
      <c r="E286" s="57">
        <v>500</v>
      </c>
      <c r="F286" s="57">
        <v>500</v>
      </c>
    </row>
    <row r="287" spans="1:8" ht="12.75" x14ac:dyDescent="0.35">
      <c r="A287" s="8"/>
      <c r="B287" s="56" t="s">
        <v>906</v>
      </c>
      <c r="C287" s="57">
        <f>14000+8000+2000</f>
        <v>24000</v>
      </c>
      <c r="D287" s="61">
        <f>11289+10020+2327+575-70+5706</f>
        <v>29847</v>
      </c>
      <c r="E287" s="57">
        <f>14000+8000+2000</f>
        <v>24000</v>
      </c>
      <c r="F287" s="57">
        <f>14000+8000+2000</f>
        <v>24000</v>
      </c>
    </row>
    <row r="288" spans="1:8" ht="12.75" x14ac:dyDescent="0.35">
      <c r="A288" s="8"/>
      <c r="B288" s="56" t="s">
        <v>7</v>
      </c>
      <c r="C288" s="57"/>
      <c r="D288" s="61"/>
      <c r="E288" s="57"/>
      <c r="F288" s="57"/>
    </row>
    <row r="289" spans="1:6" ht="12.75" x14ac:dyDescent="0.35">
      <c r="A289" s="8"/>
      <c r="B289" s="56" t="s">
        <v>8</v>
      </c>
      <c r="C289" s="57">
        <v>5000</v>
      </c>
      <c r="D289" s="61">
        <v>4561</v>
      </c>
      <c r="E289" s="57">
        <v>5000</v>
      </c>
      <c r="F289" s="57">
        <v>5000</v>
      </c>
    </row>
    <row r="290" spans="1:6" ht="12.75" x14ac:dyDescent="0.35">
      <c r="A290" s="8"/>
      <c r="B290" s="56" t="s">
        <v>1397</v>
      </c>
      <c r="C290" s="57">
        <f>500+1500+500</f>
        <v>2500</v>
      </c>
      <c r="D290" s="61">
        <f>1831+2644+762+64</f>
        <v>5301</v>
      </c>
      <c r="E290" s="57">
        <f>500+1500+500</f>
        <v>2500</v>
      </c>
      <c r="F290" s="57">
        <f>500+1500+500</f>
        <v>2500</v>
      </c>
    </row>
    <row r="291" spans="1:6" ht="12.75" x14ac:dyDescent="0.35">
      <c r="A291" s="8"/>
      <c r="B291" s="56" t="s">
        <v>2532</v>
      </c>
      <c r="C291" s="57">
        <f>SUM(C283:C290)</f>
        <v>49000</v>
      </c>
      <c r="D291" s="61">
        <f>SUM(D284:D290)</f>
        <v>55616</v>
      </c>
      <c r="E291" s="57">
        <f>SUM(E283:E290)</f>
        <v>49000</v>
      </c>
      <c r="F291" s="57">
        <f>SUM(F283:F290)</f>
        <v>49000</v>
      </c>
    </row>
    <row r="292" spans="1:6" ht="12.75" x14ac:dyDescent="0.35">
      <c r="A292" s="8"/>
      <c r="B292" s="56" t="s">
        <v>856</v>
      </c>
      <c r="C292" s="57"/>
      <c r="D292" s="61"/>
      <c r="E292" s="57"/>
      <c r="F292" s="57"/>
    </row>
    <row r="293" spans="1:6" ht="12.75" x14ac:dyDescent="0.35">
      <c r="A293" s="8"/>
      <c r="B293" s="56" t="s">
        <v>9</v>
      </c>
      <c r="C293" s="57">
        <v>-5000</v>
      </c>
      <c r="D293" s="61">
        <v>5152</v>
      </c>
      <c r="E293" s="57">
        <v>-5000</v>
      </c>
      <c r="F293" s="57">
        <v>-5000</v>
      </c>
    </row>
    <row r="294" spans="1:6" ht="12.75" x14ac:dyDescent="0.35">
      <c r="A294" s="8"/>
      <c r="B294" s="56" t="s">
        <v>10</v>
      </c>
      <c r="C294" s="57"/>
      <c r="D294" s="61"/>
      <c r="E294" s="57"/>
      <c r="F294" s="57"/>
    </row>
    <row r="295" spans="1:6" ht="12.75" x14ac:dyDescent="0.35">
      <c r="A295" s="8"/>
      <c r="B295" s="56" t="s">
        <v>11</v>
      </c>
      <c r="C295" s="57">
        <f>SUM(C293:C294)</f>
        <v>-5000</v>
      </c>
      <c r="D295" s="61">
        <v>-5152</v>
      </c>
      <c r="E295" s="57">
        <f>SUM(E293:E294)</f>
        <v>-5000</v>
      </c>
      <c r="F295" s="57">
        <f>SUM(F293:F294)</f>
        <v>-5000</v>
      </c>
    </row>
    <row r="296" spans="1:6" ht="12.75" x14ac:dyDescent="0.35">
      <c r="A296" s="8"/>
      <c r="B296" s="59" t="s">
        <v>2513</v>
      </c>
      <c r="C296" s="19">
        <f>+C291+C295</f>
        <v>44000</v>
      </c>
      <c r="D296" s="62">
        <f>+D295+D291</f>
        <v>50464</v>
      </c>
      <c r="E296" s="19">
        <f>+E291+E295</f>
        <v>44000</v>
      </c>
      <c r="F296" s="19">
        <f>+F291+F295</f>
        <v>44000</v>
      </c>
    </row>
    <row r="297" spans="1:6" ht="12.75" x14ac:dyDescent="0.35">
      <c r="A297" s="8"/>
      <c r="B297" s="8"/>
      <c r="C297" s="54"/>
      <c r="D297" s="54"/>
      <c r="E297" s="54"/>
      <c r="F297" s="54"/>
    </row>
    <row r="298" spans="1:6" ht="13.15" x14ac:dyDescent="0.4">
      <c r="A298" s="5" t="s">
        <v>12</v>
      </c>
      <c r="B298" s="8"/>
      <c r="C298" s="54">
        <v>1100</v>
      </c>
      <c r="D298" s="54">
        <v>50</v>
      </c>
      <c r="E298" s="54">
        <v>1100</v>
      </c>
      <c r="F298" s="54">
        <v>1100</v>
      </c>
    </row>
    <row r="299" spans="1:6" ht="12.75" x14ac:dyDescent="0.35">
      <c r="A299" s="8"/>
      <c r="B299" s="8"/>
      <c r="C299" s="54"/>
      <c r="D299" s="54"/>
      <c r="E299" s="54"/>
      <c r="F299" s="54"/>
    </row>
    <row r="300" spans="1:6" ht="13.15" x14ac:dyDescent="0.4">
      <c r="A300" s="5" t="s">
        <v>13</v>
      </c>
      <c r="B300" s="8"/>
      <c r="C300" s="54">
        <v>22500</v>
      </c>
      <c r="D300" s="54">
        <v>93166</v>
      </c>
      <c r="E300" s="54">
        <v>22500</v>
      </c>
      <c r="F300" s="54">
        <v>22500</v>
      </c>
    </row>
    <row r="301" spans="1:6" ht="12.75" x14ac:dyDescent="0.35">
      <c r="A301" s="8"/>
      <c r="B301" s="8"/>
      <c r="C301" s="54"/>
      <c r="D301" s="54"/>
      <c r="E301" s="54"/>
      <c r="F301" s="54"/>
    </row>
    <row r="302" spans="1:6" ht="13.15" x14ac:dyDescent="0.4">
      <c r="A302" s="5" t="s">
        <v>14</v>
      </c>
      <c r="B302" s="8"/>
      <c r="C302" s="54">
        <v>1800</v>
      </c>
      <c r="D302" s="54">
        <v>756</v>
      </c>
      <c r="E302" s="54">
        <v>1800</v>
      </c>
      <c r="F302" s="54">
        <v>1800</v>
      </c>
    </row>
    <row r="303" spans="1:6" ht="12.75" x14ac:dyDescent="0.35">
      <c r="A303" s="8"/>
      <c r="B303" s="8"/>
      <c r="C303" s="54"/>
      <c r="D303" s="54"/>
      <c r="E303" s="54"/>
      <c r="F303" s="54"/>
    </row>
    <row r="304" spans="1:6" ht="13.15" x14ac:dyDescent="0.4">
      <c r="A304" s="5" t="s">
        <v>15</v>
      </c>
      <c r="B304" s="8"/>
      <c r="C304" s="54">
        <v>4400</v>
      </c>
      <c r="D304" s="54">
        <v>822</v>
      </c>
      <c r="E304" s="54">
        <v>4400</v>
      </c>
      <c r="F304" s="54">
        <v>4400</v>
      </c>
    </row>
    <row r="305" spans="1:6" ht="12.75" x14ac:dyDescent="0.35">
      <c r="A305" s="8"/>
      <c r="B305" s="8"/>
      <c r="C305" s="54"/>
      <c r="D305" s="54"/>
      <c r="E305" s="54"/>
      <c r="F305" s="54"/>
    </row>
    <row r="306" spans="1:6" ht="13.15" x14ac:dyDescent="0.4">
      <c r="A306" s="5" t="s">
        <v>16</v>
      </c>
      <c r="B306" s="8"/>
      <c r="C306" s="54">
        <v>5000</v>
      </c>
      <c r="D306" s="54">
        <v>5000</v>
      </c>
      <c r="E306" s="54">
        <v>5000</v>
      </c>
      <c r="F306" s="54">
        <v>5000</v>
      </c>
    </row>
    <row r="307" spans="1:6" ht="12.75" x14ac:dyDescent="0.35">
      <c r="A307" s="8"/>
      <c r="B307" s="8"/>
      <c r="C307" s="54"/>
      <c r="D307" s="54"/>
      <c r="E307" s="54"/>
      <c r="F307" s="54"/>
    </row>
    <row r="308" spans="1:6" ht="13.15" x14ac:dyDescent="0.4">
      <c r="A308" s="5" t="s">
        <v>17</v>
      </c>
      <c r="B308" s="8"/>
      <c r="C308" s="54">
        <f>+C323</f>
        <v>170000</v>
      </c>
      <c r="D308" s="54">
        <f>+D323</f>
        <v>170000</v>
      </c>
      <c r="E308" s="54">
        <f>+E323</f>
        <v>170000</v>
      </c>
      <c r="F308" s="54">
        <f>+F323</f>
        <v>198000</v>
      </c>
    </row>
    <row r="309" spans="1:6" ht="13.15" x14ac:dyDescent="0.4">
      <c r="A309" s="8"/>
      <c r="B309" s="11" t="s">
        <v>18</v>
      </c>
      <c r="C309" s="55"/>
      <c r="D309" s="20"/>
      <c r="E309" s="55"/>
      <c r="F309" s="55"/>
    </row>
    <row r="310" spans="1:6" ht="12.75" x14ac:dyDescent="0.35">
      <c r="A310" s="8"/>
      <c r="B310" s="56" t="s">
        <v>831</v>
      </c>
      <c r="C310" s="57"/>
      <c r="D310" s="61"/>
      <c r="E310" s="57"/>
      <c r="F310" s="57"/>
    </row>
    <row r="311" spans="1:6" ht="12.75" x14ac:dyDescent="0.35">
      <c r="A311" s="8"/>
      <c r="B311" s="56" t="s">
        <v>19</v>
      </c>
      <c r="C311" s="57">
        <v>189350</v>
      </c>
      <c r="D311" s="61">
        <v>175716</v>
      </c>
      <c r="E311" s="57">
        <v>189350</v>
      </c>
      <c r="F311" s="57">
        <f>189350+28000</f>
        <v>217350</v>
      </c>
    </row>
    <row r="312" spans="1:6" ht="12.75" x14ac:dyDescent="0.35">
      <c r="A312" s="8"/>
      <c r="B312" s="56" t="s">
        <v>20</v>
      </c>
      <c r="C312" s="57">
        <v>36000</v>
      </c>
      <c r="D312" s="61">
        <f>23000+1500+1000</f>
        <v>25500</v>
      </c>
      <c r="E312" s="57">
        <v>36000</v>
      </c>
      <c r="F312" s="57">
        <v>36000</v>
      </c>
    </row>
    <row r="313" spans="1:6" ht="12.75" x14ac:dyDescent="0.35">
      <c r="A313" s="8"/>
      <c r="B313" s="56" t="s">
        <v>21</v>
      </c>
      <c r="C313" s="57"/>
      <c r="D313" s="61"/>
      <c r="E313" s="57"/>
      <c r="F313" s="57"/>
    </row>
    <row r="314" spans="1:6" ht="12.75" x14ac:dyDescent="0.35">
      <c r="A314" s="8"/>
      <c r="B314" s="56" t="s">
        <v>22</v>
      </c>
      <c r="C314" s="57">
        <v>400</v>
      </c>
      <c r="D314" s="61"/>
      <c r="E314" s="57">
        <v>400</v>
      </c>
      <c r="F314" s="57">
        <v>400</v>
      </c>
    </row>
    <row r="315" spans="1:6" ht="12.75" x14ac:dyDescent="0.35">
      <c r="A315" s="8"/>
      <c r="B315" s="56" t="s">
        <v>1364</v>
      </c>
      <c r="C315" s="57">
        <v>50</v>
      </c>
      <c r="D315" s="61"/>
      <c r="E315" s="57">
        <v>50</v>
      </c>
      <c r="F315" s="57">
        <v>50</v>
      </c>
    </row>
    <row r="316" spans="1:6" ht="12.75" x14ac:dyDescent="0.35">
      <c r="A316" s="8"/>
      <c r="B316" s="56" t="s">
        <v>1365</v>
      </c>
      <c r="C316" s="57">
        <v>300</v>
      </c>
      <c r="D316" s="61">
        <v>84</v>
      </c>
      <c r="E316" s="57">
        <v>300</v>
      </c>
      <c r="F316" s="57">
        <v>300</v>
      </c>
    </row>
    <row r="317" spans="1:6" ht="12.75" x14ac:dyDescent="0.35">
      <c r="A317" s="8"/>
      <c r="B317" s="56" t="s">
        <v>1366</v>
      </c>
      <c r="C317" s="57">
        <v>100</v>
      </c>
      <c r="D317" s="61">
        <v>200</v>
      </c>
      <c r="E317" s="57">
        <v>100</v>
      </c>
      <c r="F317" s="57">
        <v>100</v>
      </c>
    </row>
    <row r="318" spans="1:6" ht="12.75" x14ac:dyDescent="0.35">
      <c r="A318" s="8"/>
      <c r="B318" s="56" t="s">
        <v>1367</v>
      </c>
      <c r="C318" s="57">
        <v>2500</v>
      </c>
      <c r="D318" s="61"/>
      <c r="E318" s="57">
        <v>2500</v>
      </c>
      <c r="F318" s="57">
        <v>2500</v>
      </c>
    </row>
    <row r="319" spans="1:6" ht="12.75" x14ac:dyDescent="0.35">
      <c r="A319" s="8"/>
      <c r="B319" s="56" t="s">
        <v>1368</v>
      </c>
      <c r="C319" s="57">
        <v>300</v>
      </c>
      <c r="D319" s="61"/>
      <c r="E319" s="57">
        <v>300</v>
      </c>
      <c r="F319" s="57">
        <v>300</v>
      </c>
    </row>
    <row r="320" spans="1:6" ht="12.75" x14ac:dyDescent="0.35">
      <c r="A320" s="8"/>
      <c r="B320" s="56" t="s">
        <v>1369</v>
      </c>
      <c r="C320" s="57">
        <v>1000</v>
      </c>
      <c r="D320" s="61"/>
      <c r="E320" s="57">
        <v>1000</v>
      </c>
      <c r="F320" s="57">
        <v>1000</v>
      </c>
    </row>
    <row r="321" spans="1:6" ht="12.75" x14ac:dyDescent="0.35">
      <c r="A321" s="8"/>
      <c r="B321" s="56" t="s">
        <v>2532</v>
      </c>
      <c r="C321" s="57">
        <f>SUM(C311:C320)</f>
        <v>230000</v>
      </c>
      <c r="D321" s="61">
        <f>SUM(D311:D320)</f>
        <v>201500</v>
      </c>
      <c r="E321" s="57">
        <f>SUM(E311:E320)</f>
        <v>230000</v>
      </c>
      <c r="F321" s="57">
        <f>SUM(F311:F320)</f>
        <v>258000</v>
      </c>
    </row>
    <row r="322" spans="1:6" ht="12.75" x14ac:dyDescent="0.35">
      <c r="A322" s="8"/>
      <c r="B322" s="56" t="s">
        <v>1370</v>
      </c>
      <c r="C322" s="57">
        <v>-60000</v>
      </c>
      <c r="D322" s="61">
        <v>-31501</v>
      </c>
      <c r="E322" s="57">
        <v>-60000</v>
      </c>
      <c r="F322" s="57">
        <v>-60000</v>
      </c>
    </row>
    <row r="323" spans="1:6" ht="12.75" x14ac:dyDescent="0.35">
      <c r="A323" s="8"/>
      <c r="B323" s="59" t="s">
        <v>2513</v>
      </c>
      <c r="C323" s="19">
        <f>SUM(C321:C322)</f>
        <v>170000</v>
      </c>
      <c r="D323" s="62">
        <f>SUM(D321:D322)+1</f>
        <v>170000</v>
      </c>
      <c r="E323" s="19">
        <f>SUM(E321:E322)</f>
        <v>170000</v>
      </c>
      <c r="F323" s="19">
        <f>SUM(F321:F322)</f>
        <v>198000</v>
      </c>
    </row>
    <row r="324" spans="1:6" ht="12.75" x14ac:dyDescent="0.35">
      <c r="A324" s="8"/>
      <c r="B324" s="8"/>
      <c r="C324" s="54"/>
      <c r="D324" s="54"/>
      <c r="E324" s="54"/>
      <c r="F324" s="54"/>
    </row>
    <row r="325" spans="1:6" ht="13.15" x14ac:dyDescent="0.4">
      <c r="A325" s="5" t="s">
        <v>1371</v>
      </c>
      <c r="B325" s="8"/>
      <c r="C325" s="54">
        <v>25000</v>
      </c>
      <c r="D325" s="54">
        <v>29752</v>
      </c>
      <c r="E325" s="54">
        <v>25000</v>
      </c>
      <c r="F325" s="54">
        <v>32675</v>
      </c>
    </row>
    <row r="326" spans="1:6" ht="12.75" x14ac:dyDescent="0.35">
      <c r="A326" s="8"/>
      <c r="B326" s="8"/>
      <c r="C326" s="54"/>
      <c r="D326" s="54"/>
      <c r="E326" s="54"/>
      <c r="F326" s="54"/>
    </row>
    <row r="327" spans="1:6" ht="13.15" x14ac:dyDescent="0.4">
      <c r="A327" s="5" t="s">
        <v>1372</v>
      </c>
      <c r="B327" s="8"/>
      <c r="C327" s="54">
        <v>850</v>
      </c>
      <c r="D327" s="54">
        <v>311</v>
      </c>
      <c r="E327" s="54">
        <v>850</v>
      </c>
      <c r="F327" s="54">
        <v>850</v>
      </c>
    </row>
    <row r="328" spans="1:6" ht="12.75" x14ac:dyDescent="0.35">
      <c r="A328" s="8"/>
      <c r="B328" s="8"/>
      <c r="C328" s="54"/>
      <c r="D328" s="54"/>
      <c r="E328" s="54"/>
      <c r="F328" s="54"/>
    </row>
    <row r="329" spans="1:6" ht="13.15" x14ac:dyDescent="0.4">
      <c r="A329" s="5" t="s">
        <v>1373</v>
      </c>
      <c r="B329" s="8"/>
      <c r="C329" s="54">
        <v>85000</v>
      </c>
      <c r="D329" s="54">
        <v>81670</v>
      </c>
      <c r="E329" s="54">
        <v>85000</v>
      </c>
      <c r="F329" s="54">
        <v>85000</v>
      </c>
    </row>
    <row r="330" spans="1:6" ht="12.75" x14ac:dyDescent="0.35">
      <c r="A330" s="8"/>
      <c r="B330" s="8"/>
      <c r="C330" s="54"/>
      <c r="D330" s="54"/>
      <c r="E330" s="54"/>
      <c r="F330" s="54"/>
    </row>
    <row r="331" spans="1:6" ht="12.75" x14ac:dyDescent="0.35">
      <c r="A331" s="8"/>
      <c r="B331" s="8"/>
      <c r="C331" s="54"/>
      <c r="D331" s="54"/>
      <c r="E331" s="54"/>
      <c r="F331" s="54"/>
    </row>
    <row r="332" spans="1:6" ht="13.15" x14ac:dyDescent="0.4">
      <c r="A332" s="5" t="s">
        <v>1374</v>
      </c>
      <c r="B332" s="8"/>
      <c r="C332" s="18">
        <f>+C329+C327+C325+C308+C306+C304+C302+C300+C298+C279+C243+C241+C239+C237+C195+C193</f>
        <v>580650</v>
      </c>
      <c r="D332" s="18">
        <f>+D329+D327+D325+D308+D306+D304+D302+D300+D298+D279+D243+D241+D239+D237+D195+D193</f>
        <v>661329</v>
      </c>
      <c r="E332" s="18">
        <f>+E329+E327+E325+E308+E306+E304+E302+E300+E298+E279+E243+E241+E239+E237+E195+E193</f>
        <v>590650</v>
      </c>
      <c r="F332" s="18">
        <f>+F329+F327+F325+F308+F306+F304+F302+F300+F298+F279+F243+F241+F239+F237+F195+F193</f>
        <v>617325</v>
      </c>
    </row>
    <row r="333" spans="1:6" ht="13.15" x14ac:dyDescent="0.4">
      <c r="A333" s="5"/>
      <c r="B333" s="8"/>
      <c r="C333" s="18"/>
      <c r="D333" s="18"/>
      <c r="E333" s="18"/>
      <c r="F333" s="18"/>
    </row>
    <row r="334" spans="1:6" ht="13.15" x14ac:dyDescent="0.4">
      <c r="A334" s="5" t="s">
        <v>735</v>
      </c>
      <c r="B334" s="8"/>
      <c r="C334" s="54">
        <v>100000</v>
      </c>
      <c r="D334" s="54">
        <v>36292</v>
      </c>
      <c r="E334" s="54">
        <v>60000</v>
      </c>
      <c r="F334" s="54">
        <v>100000</v>
      </c>
    </row>
    <row r="335" spans="1:6" ht="13.15" x14ac:dyDescent="0.4">
      <c r="A335" s="5" t="s">
        <v>736</v>
      </c>
      <c r="B335" s="8"/>
      <c r="C335" s="54">
        <v>25000</v>
      </c>
      <c r="D335" s="54">
        <v>25000</v>
      </c>
      <c r="E335" s="54">
        <v>25000</v>
      </c>
      <c r="F335" s="54">
        <v>25000</v>
      </c>
    </row>
    <row r="336" spans="1:6" ht="12.75" x14ac:dyDescent="0.35">
      <c r="A336" s="8"/>
      <c r="B336" s="8"/>
      <c r="C336" s="54"/>
      <c r="D336" s="54"/>
      <c r="E336" s="54"/>
      <c r="F336" s="54"/>
    </row>
    <row r="337" spans="1:6" ht="13.15" x14ac:dyDescent="0.4">
      <c r="A337" s="5" t="s">
        <v>737</v>
      </c>
      <c r="B337" s="8"/>
      <c r="C337" s="18">
        <f>+C332+C191+C123+C61+C47+C21+C335+C334</f>
        <v>1725000</v>
      </c>
      <c r="D337" s="18">
        <f>+D332+D191+D123+D61+D47+D21+D335+D334</f>
        <v>1669910</v>
      </c>
      <c r="E337" s="18">
        <f>+E332+E191+E123+E61+E47+E21+E335+E334</f>
        <v>1724999.5</v>
      </c>
      <c r="F337" s="18">
        <f>+F332+F191+F123+F61+F47+F21+F335+F334</f>
        <v>1786339.5</v>
      </c>
    </row>
    <row r="338" spans="1:6" ht="13.15" x14ac:dyDescent="0.4">
      <c r="A338" s="5"/>
      <c r="B338" s="8"/>
      <c r="C338" s="54"/>
      <c r="D338" s="54"/>
      <c r="E338" s="54"/>
      <c r="F338" s="54"/>
    </row>
    <row r="339" spans="1:6" ht="13.15" x14ac:dyDescent="0.4">
      <c r="A339" s="5" t="s">
        <v>738</v>
      </c>
      <c r="B339" s="8"/>
      <c r="C339" s="54">
        <v>1986426</v>
      </c>
      <c r="D339" s="54">
        <v>1937862</v>
      </c>
      <c r="E339" s="54">
        <v>2137722</v>
      </c>
      <c r="F339" s="54" t="e">
        <f>#REF!</f>
        <v>#REF!</v>
      </c>
    </row>
    <row r="340" spans="1:6" ht="13.15" x14ac:dyDescent="0.4">
      <c r="A340" s="5"/>
      <c r="B340" s="8"/>
      <c r="C340" s="54"/>
      <c r="D340" s="54"/>
      <c r="E340" s="54"/>
      <c r="F340" s="54"/>
    </row>
    <row r="341" spans="1:6" ht="13.15" x14ac:dyDescent="0.4">
      <c r="A341" s="5" t="s">
        <v>739</v>
      </c>
      <c r="B341" s="8"/>
      <c r="C341" s="54">
        <v>50000</v>
      </c>
      <c r="D341" s="54"/>
      <c r="E341" s="54"/>
      <c r="F341" s="54"/>
    </row>
    <row r="343" spans="1:6" ht="15" x14ac:dyDescent="0.4">
      <c r="B343" s="3" t="s">
        <v>740</v>
      </c>
      <c r="C343" s="18">
        <f>SUM(C336:C342)</f>
        <v>3761426</v>
      </c>
      <c r="D343" s="18">
        <f>SUM(D337:D342)</f>
        <v>3607772</v>
      </c>
      <c r="E343" s="18">
        <f>SUM(E337:E342)</f>
        <v>3862721.5</v>
      </c>
      <c r="F343" s="18" t="e">
        <f>SUM(F337:F342)</f>
        <v>#REF!</v>
      </c>
    </row>
    <row r="346" spans="1:6" x14ac:dyDescent="0.35">
      <c r="C346" s="25"/>
    </row>
    <row r="347" spans="1:6" x14ac:dyDescent="0.35">
      <c r="C347" s="25"/>
    </row>
    <row r="348" spans="1:6" x14ac:dyDescent="0.35">
      <c r="C348" s="25"/>
    </row>
  </sheetData>
  <phoneticPr fontId="0" type="noConversion"/>
  <pageMargins left="0.3" right="0.7" top="0.75" bottom="0.75" header="0.3" footer="0.3"/>
  <pageSetup scale="9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54"/>
  <sheetViews>
    <sheetView workbookViewId="0">
      <selection activeCell="B8" sqref="B8"/>
    </sheetView>
  </sheetViews>
  <sheetFormatPr defaultRowHeight="12.4" x14ac:dyDescent="0.35"/>
  <cols>
    <col min="1" max="1" width="53.85546875" bestFit="1" customWidth="1"/>
    <col min="2" max="2" width="13.5703125" customWidth="1"/>
    <col min="3" max="3" width="20.7109375" customWidth="1"/>
    <col min="4" max="4" width="22" customWidth="1"/>
    <col min="5" max="5" width="25.28515625" customWidth="1"/>
    <col min="6" max="6" width="19.85546875" customWidth="1"/>
    <col min="7" max="7" width="16.42578125" customWidth="1"/>
    <col min="8" max="8" width="10.28515625" bestFit="1" customWidth="1"/>
  </cols>
  <sheetData>
    <row r="2" spans="1:9" ht="17.649999999999999" x14ac:dyDescent="0.5">
      <c r="A2" s="24" t="s">
        <v>1383</v>
      </c>
    </row>
    <row r="3" spans="1:9" ht="17.649999999999999" x14ac:dyDescent="0.5">
      <c r="A3" s="24" t="s">
        <v>741</v>
      </c>
    </row>
    <row r="5" spans="1:9" ht="13.15" x14ac:dyDescent="0.4">
      <c r="A5" s="8"/>
      <c r="B5" s="28" t="s">
        <v>742</v>
      </c>
      <c r="C5" s="28" t="s">
        <v>743</v>
      </c>
      <c r="D5" s="28" t="s">
        <v>748</v>
      </c>
      <c r="E5" s="28" t="s">
        <v>750</v>
      </c>
      <c r="F5" s="28" t="s">
        <v>755</v>
      </c>
      <c r="G5" s="28" t="s">
        <v>751</v>
      </c>
      <c r="H5" s="28" t="s">
        <v>1382</v>
      </c>
      <c r="I5" s="8"/>
    </row>
    <row r="6" spans="1:9" ht="13.15" x14ac:dyDescent="0.4">
      <c r="A6" s="8"/>
      <c r="B6" s="28"/>
      <c r="C6" s="28" t="s">
        <v>744</v>
      </c>
      <c r="D6" s="28" t="s">
        <v>747</v>
      </c>
      <c r="E6" s="28" t="s">
        <v>749</v>
      </c>
      <c r="F6" s="28"/>
      <c r="G6" s="28" t="s">
        <v>745</v>
      </c>
      <c r="H6" s="8"/>
      <c r="I6" s="8"/>
    </row>
    <row r="7" spans="1:9" ht="12.75" x14ac:dyDescent="0.35">
      <c r="A7" s="8"/>
      <c r="B7" s="8"/>
      <c r="C7" s="8"/>
      <c r="D7" s="8"/>
      <c r="E7" s="8"/>
      <c r="F7" s="8"/>
      <c r="G7" s="8"/>
      <c r="H7" s="8"/>
      <c r="I7" s="8"/>
    </row>
    <row r="8" spans="1:9" ht="13.15" x14ac:dyDescent="0.4">
      <c r="A8" s="5" t="s">
        <v>746</v>
      </c>
      <c r="B8" s="54" t="e">
        <f>#REF!+1</f>
        <v>#REF!</v>
      </c>
      <c r="C8" s="54" t="e">
        <f>#REF!</f>
        <v>#REF!</v>
      </c>
      <c r="D8" s="54" t="e">
        <f>#REF!</f>
        <v>#REF!</v>
      </c>
      <c r="E8" s="54" t="e">
        <f>#REF!</f>
        <v>#REF!</v>
      </c>
      <c r="F8" s="54"/>
      <c r="G8" s="54" t="e">
        <f>#REF!</f>
        <v>#REF!</v>
      </c>
      <c r="H8" s="64" t="e">
        <f>SUM(B8:G8)</f>
        <v>#REF!</v>
      </c>
      <c r="I8" s="8"/>
    </row>
    <row r="9" spans="1:9" ht="12.75" x14ac:dyDescent="0.35">
      <c r="A9" s="8"/>
      <c r="B9" s="54"/>
      <c r="C9" s="54"/>
      <c r="D9" s="54"/>
      <c r="E9" s="54"/>
      <c r="F9" s="54"/>
      <c r="G9" s="54"/>
      <c r="H9" s="8"/>
      <c r="I9" s="8"/>
    </row>
    <row r="10" spans="1:9" ht="13.15" x14ac:dyDescent="0.4">
      <c r="A10" s="5" t="s">
        <v>752</v>
      </c>
      <c r="B10" s="54" t="e">
        <f>#REF!</f>
        <v>#REF!</v>
      </c>
      <c r="C10" s="54" t="e">
        <f>#REF!</f>
        <v>#REF!</v>
      </c>
      <c r="D10" s="54" t="e">
        <f>#REF!</f>
        <v>#REF!</v>
      </c>
      <c r="E10" s="54" t="e">
        <f>#REF!</f>
        <v>#REF!</v>
      </c>
      <c r="F10" s="54"/>
      <c r="G10" s="54" t="e">
        <f>#REF!</f>
        <v>#REF!</v>
      </c>
      <c r="H10" s="64" t="e">
        <f>SUM(B10:G10)</f>
        <v>#REF!</v>
      </c>
      <c r="I10" s="8"/>
    </row>
    <row r="11" spans="1:9" ht="12.75" x14ac:dyDescent="0.35">
      <c r="A11" s="8"/>
      <c r="B11" s="54"/>
      <c r="C11" s="54"/>
      <c r="D11" s="54"/>
      <c r="E11" s="54"/>
      <c r="F11" s="54"/>
      <c r="G11" s="54"/>
      <c r="H11" s="8"/>
      <c r="I11" s="8"/>
    </row>
    <row r="12" spans="1:9" ht="13.15" x14ac:dyDescent="0.4">
      <c r="A12" s="5" t="s">
        <v>753</v>
      </c>
      <c r="B12" s="54" t="e">
        <f>#REF!</f>
        <v>#REF!</v>
      </c>
      <c r="C12" s="54" t="e">
        <f>#REF!</f>
        <v>#REF!</v>
      </c>
      <c r="D12" s="54" t="e">
        <f>#REF!</f>
        <v>#REF!</v>
      </c>
      <c r="E12" s="54" t="e">
        <f>#REF!</f>
        <v>#REF!</v>
      </c>
      <c r="F12" s="54" t="e">
        <f>#REF!</f>
        <v>#REF!</v>
      </c>
      <c r="G12" s="54" t="e">
        <f>#REF!</f>
        <v>#REF!</v>
      </c>
      <c r="H12" s="64" t="e">
        <f>SUM(B12:G12)</f>
        <v>#REF!</v>
      </c>
      <c r="I12" s="8"/>
    </row>
    <row r="13" spans="1:9" ht="12.75" x14ac:dyDescent="0.35">
      <c r="A13" s="8"/>
      <c r="B13" s="54"/>
      <c r="C13" s="54"/>
      <c r="D13" s="54"/>
      <c r="E13" s="54"/>
      <c r="F13" s="54"/>
      <c r="G13" s="54"/>
      <c r="H13" s="8"/>
      <c r="I13" s="8"/>
    </row>
    <row r="14" spans="1:9" ht="13.15" x14ac:dyDescent="0.4">
      <c r="A14" s="5" t="s">
        <v>754</v>
      </c>
      <c r="B14" s="54" t="e">
        <f>#REF!</f>
        <v>#REF!</v>
      </c>
      <c r="C14" s="54" t="e">
        <f>#REF!</f>
        <v>#REF!</v>
      </c>
      <c r="D14" s="54" t="e">
        <f>#REF!</f>
        <v>#REF!</v>
      </c>
      <c r="E14" s="54" t="e">
        <f>#REF!</f>
        <v>#REF!</v>
      </c>
      <c r="F14" s="54" t="e">
        <f>#REF!</f>
        <v>#REF!</v>
      </c>
      <c r="G14" s="54" t="e">
        <f>#REF!</f>
        <v>#REF!</v>
      </c>
      <c r="H14" s="64" t="e">
        <f>SUM(B14:G14)</f>
        <v>#REF!</v>
      </c>
      <c r="I14" s="8"/>
    </row>
    <row r="15" spans="1:9" ht="12.75" x14ac:dyDescent="0.35">
      <c r="A15" s="8"/>
      <c r="I15" s="8"/>
    </row>
    <row r="16" spans="1:9" ht="12.75" x14ac:dyDescent="0.35">
      <c r="A16" s="8"/>
      <c r="B16" s="54"/>
      <c r="C16" s="54"/>
      <c r="D16" s="54"/>
      <c r="E16" s="54"/>
      <c r="F16" s="54"/>
      <c r="G16" s="54"/>
      <c r="H16" s="8"/>
      <c r="I16" s="8"/>
    </row>
    <row r="17" spans="1:9" ht="13.15" x14ac:dyDescent="0.4">
      <c r="A17" s="5" t="s">
        <v>740</v>
      </c>
      <c r="B17" s="18" t="e">
        <f t="shared" ref="B17:H17" si="0">SUM(B8:B14)</f>
        <v>#REF!</v>
      </c>
      <c r="C17" s="18" t="e">
        <f t="shared" si="0"/>
        <v>#REF!</v>
      </c>
      <c r="D17" s="18" t="e">
        <f t="shared" si="0"/>
        <v>#REF!</v>
      </c>
      <c r="E17" s="18" t="e">
        <f t="shared" si="0"/>
        <v>#REF!</v>
      </c>
      <c r="F17" s="18" t="e">
        <f t="shared" si="0"/>
        <v>#REF!</v>
      </c>
      <c r="G17" s="18" t="e">
        <f t="shared" si="0"/>
        <v>#REF!</v>
      </c>
      <c r="H17" s="18" t="e">
        <f t="shared" si="0"/>
        <v>#REF!</v>
      </c>
      <c r="I17" s="8"/>
    </row>
    <row r="18" spans="1:9" ht="12.75" x14ac:dyDescent="0.35">
      <c r="A18" s="8"/>
      <c r="B18" s="54"/>
      <c r="C18" s="54"/>
      <c r="D18" s="54"/>
      <c r="E18" s="54"/>
      <c r="F18" s="54"/>
      <c r="G18" s="54"/>
      <c r="H18" s="8"/>
      <c r="I18" s="8"/>
    </row>
    <row r="19" spans="1:9" ht="12.75" x14ac:dyDescent="0.35">
      <c r="A19" s="8"/>
      <c r="B19" s="54"/>
      <c r="C19" s="54"/>
      <c r="D19" s="54"/>
      <c r="E19" s="54"/>
      <c r="F19" s="54"/>
      <c r="G19" s="54"/>
      <c r="H19" s="8"/>
      <c r="I19" s="8"/>
    </row>
    <row r="20" spans="1:9" ht="12.75" x14ac:dyDescent="0.35">
      <c r="A20" s="8"/>
      <c r="B20" s="54"/>
      <c r="C20" s="54"/>
      <c r="D20" s="54"/>
      <c r="E20" s="54"/>
      <c r="F20" s="54"/>
      <c r="G20" s="54"/>
      <c r="H20" s="8"/>
      <c r="I20" s="8"/>
    </row>
    <row r="21" spans="1:9" ht="13.15" x14ac:dyDescent="0.4">
      <c r="A21" s="8"/>
      <c r="B21" s="54"/>
      <c r="C21" s="28" t="s">
        <v>759</v>
      </c>
      <c r="D21" s="54"/>
      <c r="E21" s="54"/>
      <c r="F21" s="54"/>
      <c r="G21" s="54"/>
      <c r="H21" s="8"/>
      <c r="I21" s="8"/>
    </row>
    <row r="22" spans="1:9" ht="13.15" x14ac:dyDescent="0.4">
      <c r="A22" s="8"/>
      <c r="B22" s="28" t="s">
        <v>746</v>
      </c>
      <c r="C22" s="28" t="s">
        <v>752</v>
      </c>
      <c r="D22" s="28" t="s">
        <v>753</v>
      </c>
      <c r="E22" s="28" t="s">
        <v>754</v>
      </c>
      <c r="F22" s="28" t="s">
        <v>740</v>
      </c>
      <c r="G22" s="8"/>
      <c r="I22" s="8"/>
    </row>
    <row r="23" spans="1:9" ht="12.75" x14ac:dyDescent="0.35">
      <c r="A23" s="8"/>
      <c r="B23" s="54"/>
      <c r="C23" s="54"/>
      <c r="D23" s="54"/>
      <c r="E23" s="54"/>
      <c r="F23" s="54"/>
      <c r="G23" s="54"/>
      <c r="H23" s="8"/>
      <c r="I23" s="8"/>
    </row>
    <row r="24" spans="1:9" ht="13.15" x14ac:dyDescent="0.4">
      <c r="A24" s="65" t="s">
        <v>742</v>
      </c>
      <c r="B24" s="66" t="e">
        <f>+B8</f>
        <v>#REF!</v>
      </c>
      <c r="C24" s="18" t="e">
        <f>+B10</f>
        <v>#REF!</v>
      </c>
      <c r="D24" s="18" t="e">
        <f>+B12</f>
        <v>#REF!</v>
      </c>
      <c r="E24" s="18" t="e">
        <f>+B14</f>
        <v>#REF!</v>
      </c>
      <c r="F24" s="54" t="e">
        <f>SUM(B24:E24)</f>
        <v>#REF!</v>
      </c>
      <c r="G24" s="54"/>
      <c r="H24" s="8"/>
      <c r="I24" s="8"/>
    </row>
    <row r="25" spans="1:9" ht="13.15" x14ac:dyDescent="0.4">
      <c r="A25" s="65"/>
      <c r="B25" s="65"/>
      <c r="C25" s="18"/>
      <c r="D25" s="18"/>
      <c r="E25" s="18"/>
      <c r="F25" s="54"/>
      <c r="G25" s="54"/>
      <c r="H25" s="8"/>
      <c r="I25" s="8"/>
    </row>
    <row r="26" spans="1:9" ht="13.15" x14ac:dyDescent="0.4">
      <c r="A26" s="65" t="s">
        <v>743</v>
      </c>
      <c r="B26" s="67" t="e">
        <f>+C8</f>
        <v>#REF!</v>
      </c>
      <c r="C26" s="18" t="e">
        <f>+C10</f>
        <v>#REF!</v>
      </c>
      <c r="D26" s="18" t="e">
        <f>+C12</f>
        <v>#REF!</v>
      </c>
      <c r="E26" s="18" t="e">
        <f>+C14</f>
        <v>#REF!</v>
      </c>
      <c r="F26" s="54" t="e">
        <f>SUM(B26:E26)</f>
        <v>#REF!</v>
      </c>
      <c r="G26" s="54"/>
      <c r="H26" s="8"/>
      <c r="I26" s="8"/>
    </row>
    <row r="27" spans="1:9" ht="13.15" x14ac:dyDescent="0.4">
      <c r="A27" s="65" t="s">
        <v>744</v>
      </c>
      <c r="B27" s="65"/>
      <c r="C27" s="18"/>
      <c r="D27" s="18"/>
      <c r="E27" s="18"/>
      <c r="F27" s="54"/>
      <c r="G27" s="54"/>
      <c r="H27" s="8"/>
      <c r="I27" s="8"/>
    </row>
    <row r="28" spans="1:9" ht="13.15" x14ac:dyDescent="0.4">
      <c r="A28" s="65"/>
      <c r="B28" s="65"/>
      <c r="C28" s="18"/>
      <c r="D28" s="18"/>
      <c r="E28" s="18"/>
      <c r="F28" s="54"/>
      <c r="G28" s="54"/>
      <c r="H28" s="8"/>
      <c r="I28" s="8"/>
    </row>
    <row r="29" spans="1:9" ht="13.15" x14ac:dyDescent="0.4">
      <c r="A29" s="65" t="s">
        <v>756</v>
      </c>
      <c r="B29" s="67" t="e">
        <f>D8</f>
        <v>#REF!</v>
      </c>
      <c r="C29" s="18" t="e">
        <f>+D10</f>
        <v>#REF!</v>
      </c>
      <c r="D29" s="18" t="e">
        <f>+D12</f>
        <v>#REF!</v>
      </c>
      <c r="E29" s="18" t="e">
        <f>+D14</f>
        <v>#REF!</v>
      </c>
      <c r="F29" s="54" t="e">
        <f>SUM(B29:E29)</f>
        <v>#REF!</v>
      </c>
      <c r="G29" s="54"/>
      <c r="H29" s="8"/>
      <c r="I29" s="8"/>
    </row>
    <row r="30" spans="1:9" ht="13.15" x14ac:dyDescent="0.4">
      <c r="A30" s="65"/>
      <c r="B30" s="65"/>
      <c r="C30" s="18"/>
      <c r="D30" s="18"/>
      <c r="E30" s="18"/>
      <c r="F30" s="54"/>
      <c r="G30" s="54"/>
      <c r="H30" s="8"/>
      <c r="I30" s="8"/>
    </row>
    <row r="31" spans="1:9" ht="13.15" x14ac:dyDescent="0.4">
      <c r="A31" s="65" t="s">
        <v>757</v>
      </c>
      <c r="B31" s="66" t="e">
        <f>+E8</f>
        <v>#REF!</v>
      </c>
      <c r="C31" s="18" t="e">
        <f>+E10</f>
        <v>#REF!</v>
      </c>
      <c r="D31" s="18" t="e">
        <f>+E12</f>
        <v>#REF!</v>
      </c>
      <c r="E31" s="18" t="e">
        <f>+E14</f>
        <v>#REF!</v>
      </c>
      <c r="F31" s="54" t="e">
        <f>SUM(B31:E31)</f>
        <v>#REF!</v>
      </c>
      <c r="G31" s="54"/>
      <c r="H31" s="8"/>
      <c r="I31" s="8"/>
    </row>
    <row r="32" spans="1:9" ht="13.15" x14ac:dyDescent="0.4">
      <c r="A32" s="65"/>
      <c r="B32" s="65"/>
      <c r="C32" s="18"/>
      <c r="D32" s="18"/>
      <c r="E32" s="18"/>
      <c r="F32" s="54"/>
      <c r="G32" s="54"/>
      <c r="H32" s="8"/>
      <c r="I32" s="8"/>
    </row>
    <row r="33" spans="1:9" ht="13.15" x14ac:dyDescent="0.4">
      <c r="A33" s="65" t="s">
        <v>755</v>
      </c>
      <c r="B33" s="65"/>
      <c r="C33" s="18"/>
      <c r="D33" s="18" t="e">
        <f>+F12</f>
        <v>#REF!</v>
      </c>
      <c r="E33" s="18" t="e">
        <f>+F14</f>
        <v>#REF!</v>
      </c>
      <c r="F33" s="54" t="e">
        <f>SUM(B33:E33)</f>
        <v>#REF!</v>
      </c>
      <c r="G33" s="54"/>
      <c r="H33" s="8"/>
      <c r="I33" s="8"/>
    </row>
    <row r="34" spans="1:9" ht="13.15" x14ac:dyDescent="0.4">
      <c r="A34" s="65"/>
      <c r="B34" s="65"/>
      <c r="C34" s="18"/>
      <c r="D34" s="18"/>
      <c r="E34" s="18"/>
      <c r="F34" s="54"/>
      <c r="G34" s="54"/>
      <c r="H34" s="8"/>
      <c r="I34" s="8"/>
    </row>
    <row r="35" spans="1:9" ht="13.15" x14ac:dyDescent="0.4">
      <c r="A35" s="65" t="s">
        <v>758</v>
      </c>
      <c r="B35" s="66" t="e">
        <f>+G8</f>
        <v>#REF!</v>
      </c>
      <c r="C35" s="18" t="e">
        <f>+G10</f>
        <v>#REF!</v>
      </c>
      <c r="D35" s="18" t="e">
        <f>+G12</f>
        <v>#REF!</v>
      </c>
      <c r="E35" s="18" t="e">
        <f>+G14</f>
        <v>#REF!</v>
      </c>
      <c r="F35" s="54" t="e">
        <f>SUM(B35:E35)</f>
        <v>#REF!</v>
      </c>
      <c r="G35" s="54"/>
      <c r="H35" s="8"/>
      <c r="I35" s="8"/>
    </row>
    <row r="36" spans="1:9" ht="13.15" x14ac:dyDescent="0.4">
      <c r="B36" s="65"/>
      <c r="C36" s="18"/>
      <c r="D36" s="18"/>
      <c r="E36" s="18"/>
      <c r="F36" s="54"/>
      <c r="G36" s="54"/>
      <c r="H36" s="8"/>
      <c r="I36" s="8"/>
    </row>
    <row r="37" spans="1:9" ht="13.15" x14ac:dyDescent="0.4">
      <c r="A37" s="65" t="s">
        <v>740</v>
      </c>
      <c r="B37" s="18" t="e">
        <f>SUM(B24:B35)</f>
        <v>#REF!</v>
      </c>
      <c r="C37" s="18" t="e">
        <f>SUM(C24:C35)</f>
        <v>#REF!</v>
      </c>
      <c r="D37" s="18" t="e">
        <f>SUM(D24:D35)</f>
        <v>#REF!</v>
      </c>
      <c r="E37" s="18" t="e">
        <f>SUM(E24:E35)</f>
        <v>#REF!</v>
      </c>
      <c r="F37" s="18" t="e">
        <f>SUM(F24:F35)+1</f>
        <v>#REF!</v>
      </c>
      <c r="G37" s="54"/>
      <c r="H37" s="8"/>
      <c r="I37" s="8"/>
    </row>
    <row r="38" spans="1:9" ht="12.75" x14ac:dyDescent="0.35">
      <c r="A38" s="8"/>
      <c r="B38" s="54"/>
      <c r="C38" s="54"/>
      <c r="D38" s="54"/>
      <c r="E38" s="54"/>
      <c r="F38" s="54"/>
      <c r="G38" s="54"/>
      <c r="H38" s="8"/>
      <c r="I38" s="8"/>
    </row>
    <row r="39" spans="1:9" x14ac:dyDescent="0.35">
      <c r="B39" s="10"/>
      <c r="C39" s="10"/>
      <c r="D39" s="10"/>
      <c r="E39" s="10"/>
      <c r="F39" s="10"/>
      <c r="G39" s="10"/>
    </row>
    <row r="40" spans="1:9" x14ac:dyDescent="0.35">
      <c r="B40" s="10"/>
      <c r="C40" s="10"/>
      <c r="D40" s="10"/>
      <c r="E40" s="10"/>
      <c r="F40" s="10"/>
      <c r="G40" s="10"/>
    </row>
    <row r="41" spans="1:9" x14ac:dyDescent="0.35">
      <c r="B41" s="10"/>
      <c r="C41" s="10"/>
      <c r="D41" s="10"/>
      <c r="E41" s="10"/>
      <c r="F41" s="10"/>
      <c r="G41" s="10"/>
    </row>
    <row r="42" spans="1:9" x14ac:dyDescent="0.35">
      <c r="B42" s="10"/>
      <c r="C42" s="10"/>
      <c r="D42" s="10"/>
      <c r="E42" s="10"/>
      <c r="F42" s="10"/>
      <c r="G42" s="10"/>
    </row>
    <row r="43" spans="1:9" x14ac:dyDescent="0.35">
      <c r="B43" s="10"/>
      <c r="C43" s="10"/>
      <c r="D43" s="10"/>
      <c r="E43" s="10"/>
      <c r="F43" s="10"/>
      <c r="G43" s="10"/>
    </row>
    <row r="44" spans="1:9" x14ac:dyDescent="0.35">
      <c r="B44" s="10"/>
      <c r="C44" s="10"/>
      <c r="D44" s="10"/>
      <c r="E44" s="10"/>
      <c r="F44" s="10"/>
      <c r="G44" s="10"/>
    </row>
    <row r="45" spans="1:9" x14ac:dyDescent="0.35">
      <c r="B45" s="10"/>
      <c r="C45" s="10"/>
      <c r="D45" s="10"/>
      <c r="E45" s="10"/>
      <c r="F45" s="10"/>
      <c r="G45" s="10"/>
    </row>
    <row r="46" spans="1:9" x14ac:dyDescent="0.35">
      <c r="B46" s="10"/>
      <c r="C46" s="10"/>
      <c r="D46" s="10"/>
      <c r="E46" s="10"/>
      <c r="F46" s="10"/>
      <c r="G46" s="10"/>
    </row>
    <row r="47" spans="1:9" x14ac:dyDescent="0.35">
      <c r="B47" s="10"/>
      <c r="C47" s="10"/>
      <c r="D47" s="10"/>
      <c r="E47" s="10"/>
      <c r="F47" s="10"/>
      <c r="G47" s="10"/>
    </row>
    <row r="48" spans="1:9" x14ac:dyDescent="0.35">
      <c r="B48" s="10"/>
      <c r="C48" s="10"/>
      <c r="D48" s="10"/>
      <c r="E48" s="10"/>
      <c r="F48" s="10"/>
      <c r="G48" s="10"/>
    </row>
    <row r="49" spans="2:7" x14ac:dyDescent="0.35">
      <c r="B49" s="10"/>
      <c r="C49" s="10"/>
      <c r="D49" s="10"/>
      <c r="E49" s="10"/>
      <c r="F49" s="10"/>
      <c r="G49" s="10"/>
    </row>
    <row r="50" spans="2:7" x14ac:dyDescent="0.35">
      <c r="B50" s="10"/>
      <c r="C50" s="10"/>
      <c r="D50" s="10"/>
      <c r="E50" s="10"/>
      <c r="F50" s="10"/>
      <c r="G50" s="10"/>
    </row>
    <row r="51" spans="2:7" x14ac:dyDescent="0.35">
      <c r="B51" s="10"/>
      <c r="C51" s="10"/>
      <c r="D51" s="10"/>
      <c r="E51" s="10"/>
      <c r="F51" s="10"/>
      <c r="G51" s="10"/>
    </row>
    <row r="52" spans="2:7" x14ac:dyDescent="0.35">
      <c r="B52" s="10"/>
      <c r="C52" s="10"/>
      <c r="D52" s="10"/>
      <c r="E52" s="10"/>
      <c r="F52" s="10"/>
      <c r="G52" s="10"/>
    </row>
    <row r="53" spans="2:7" x14ac:dyDescent="0.35">
      <c r="B53" s="10"/>
      <c r="C53" s="10"/>
      <c r="D53" s="10"/>
      <c r="E53" s="10"/>
      <c r="F53" s="10"/>
      <c r="G53" s="10"/>
    </row>
    <row r="54" spans="2:7" x14ac:dyDescent="0.35">
      <c r="B54" s="10"/>
      <c r="C54" s="10"/>
      <c r="D54" s="10"/>
      <c r="E54" s="10"/>
      <c r="F54" s="10"/>
      <c r="G54" s="10"/>
    </row>
  </sheetData>
  <phoneticPr fontId="0"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7"/>
  <sheetViews>
    <sheetView topLeftCell="A4" workbookViewId="0">
      <selection activeCell="A4" sqref="A4"/>
    </sheetView>
  </sheetViews>
  <sheetFormatPr defaultRowHeight="15" x14ac:dyDescent="0.4"/>
  <cols>
    <col min="1" max="1" width="38.5703125" customWidth="1"/>
    <col min="2" max="2" width="32.140625" customWidth="1"/>
    <col min="3" max="3" width="7.28515625" customWidth="1"/>
    <col min="4" max="4" width="16.7109375" customWidth="1"/>
    <col min="5" max="5" width="14.5703125" customWidth="1"/>
    <col min="6" max="6" width="12.85546875" customWidth="1"/>
    <col min="7" max="7" width="11.42578125" style="4" customWidth="1"/>
    <col min="8" max="8" width="12.7109375" style="4" customWidth="1"/>
  </cols>
  <sheetData>
    <row r="1" spans="1:10" hidden="1" x14ac:dyDescent="0.4">
      <c r="B1" s="27"/>
      <c r="C1" s="27"/>
      <c r="D1" s="27"/>
      <c r="E1" s="4"/>
    </row>
    <row r="2" spans="1:10" hidden="1" x14ac:dyDescent="0.4">
      <c r="A2" s="27"/>
      <c r="B2" s="27"/>
      <c r="C2" s="27"/>
      <c r="D2" s="27"/>
      <c r="E2" s="4"/>
    </row>
    <row r="3" spans="1:10" hidden="1" x14ac:dyDescent="0.4">
      <c r="A3" s="29"/>
      <c r="B3" s="29"/>
      <c r="C3" s="29"/>
      <c r="D3" s="29"/>
      <c r="E3" s="4"/>
      <c r="F3" s="5"/>
    </row>
    <row r="4" spans="1:10" x14ac:dyDescent="0.4">
      <c r="A4" s="29"/>
      <c r="B4" s="29"/>
      <c r="C4" s="29"/>
      <c r="D4" s="29"/>
      <c r="E4" s="4"/>
    </row>
    <row r="5" spans="1:10" x14ac:dyDescent="0.4">
      <c r="A5" s="3" t="s">
        <v>763</v>
      </c>
      <c r="B5" s="27"/>
      <c r="C5" s="27"/>
      <c r="D5" s="186" t="s">
        <v>772</v>
      </c>
      <c r="E5" s="186"/>
      <c r="F5" s="186"/>
      <c r="G5" s="186"/>
      <c r="H5" s="186"/>
    </row>
    <row r="6" spans="1:10" x14ac:dyDescent="0.4">
      <c r="A6" s="3"/>
      <c r="B6" s="27"/>
      <c r="C6" s="27"/>
      <c r="D6" s="29"/>
      <c r="E6" s="29"/>
      <c r="F6" s="29"/>
      <c r="G6" s="29"/>
      <c r="H6" s="29"/>
    </row>
    <row r="7" spans="1:10" x14ac:dyDescent="0.4">
      <c r="A7" s="30"/>
      <c r="B7" s="27"/>
      <c r="C7" s="27"/>
      <c r="D7" s="6" t="s">
        <v>1400</v>
      </c>
      <c r="E7" s="6" t="s">
        <v>1401</v>
      </c>
      <c r="F7" s="6" t="s">
        <v>1402</v>
      </c>
      <c r="G7" s="6" t="s">
        <v>1403</v>
      </c>
      <c r="H7" s="6" t="s">
        <v>1382</v>
      </c>
    </row>
    <row r="8" spans="1:10" x14ac:dyDescent="0.4">
      <c r="A8" s="27" t="s">
        <v>728</v>
      </c>
      <c r="B8" s="27" t="s">
        <v>765</v>
      </c>
      <c r="C8" s="27" t="s">
        <v>771</v>
      </c>
      <c r="D8" s="68">
        <v>26000</v>
      </c>
      <c r="E8" s="68">
        <v>5280</v>
      </c>
      <c r="F8" s="69">
        <v>2860</v>
      </c>
      <c r="G8" s="69">
        <v>1989</v>
      </c>
      <c r="H8" s="69">
        <f>SUM(D8:G8)</f>
        <v>36129</v>
      </c>
      <c r="I8" s="70"/>
      <c r="J8" s="70"/>
    </row>
    <row r="9" spans="1:10" x14ac:dyDescent="0.4">
      <c r="A9" s="27"/>
      <c r="B9" s="27"/>
      <c r="C9" s="27" t="s">
        <v>769</v>
      </c>
      <c r="D9" s="68">
        <v>22500</v>
      </c>
      <c r="E9" s="68">
        <v>5280</v>
      </c>
      <c r="F9" s="69">
        <v>2475</v>
      </c>
      <c r="G9" s="69">
        <v>1721</v>
      </c>
      <c r="H9" s="69">
        <f>SUM(D9:G9)</f>
        <v>31976</v>
      </c>
      <c r="I9" s="70"/>
      <c r="J9" s="70"/>
    </row>
    <row r="10" spans="1:10" x14ac:dyDescent="0.4">
      <c r="A10" s="27"/>
      <c r="B10" s="27"/>
      <c r="C10" s="27"/>
      <c r="D10" s="71">
        <f>+D8-D9</f>
        <v>3500</v>
      </c>
      <c r="E10" s="71">
        <f>+E8-E9</f>
        <v>0</v>
      </c>
      <c r="F10" s="71">
        <f>+F8-F9</f>
        <v>385</v>
      </c>
      <c r="G10" s="71">
        <f>+G8-G9</f>
        <v>268</v>
      </c>
      <c r="H10" s="71">
        <f>+H8-H9</f>
        <v>4153</v>
      </c>
      <c r="I10" s="70"/>
      <c r="J10" s="70"/>
    </row>
    <row r="11" spans="1:10" x14ac:dyDescent="0.4">
      <c r="A11" s="27"/>
      <c r="B11" s="27"/>
      <c r="C11" s="27"/>
      <c r="D11" s="71"/>
      <c r="E11" s="71"/>
      <c r="F11" s="71"/>
      <c r="G11" s="71"/>
      <c r="H11" s="71"/>
      <c r="I11" s="70"/>
      <c r="J11" s="70"/>
    </row>
    <row r="12" spans="1:10" x14ac:dyDescent="0.4">
      <c r="A12" s="27" t="s">
        <v>760</v>
      </c>
      <c r="B12" s="27" t="s">
        <v>761</v>
      </c>
      <c r="C12" s="27" t="s">
        <v>771</v>
      </c>
      <c r="D12" s="68">
        <v>33826</v>
      </c>
      <c r="E12" s="68">
        <v>5280</v>
      </c>
      <c r="F12" s="69">
        <v>3721</v>
      </c>
      <c r="G12" s="69">
        <v>2588</v>
      </c>
      <c r="H12" s="69">
        <f>SUM(D12:G12)</f>
        <v>45415</v>
      </c>
      <c r="I12" s="70"/>
      <c r="J12" s="70"/>
    </row>
    <row r="13" spans="1:10" x14ac:dyDescent="0.4">
      <c r="A13" s="27"/>
      <c r="B13" s="27"/>
      <c r="C13" s="27" t="s">
        <v>769</v>
      </c>
      <c r="D13" s="68">
        <v>30305</v>
      </c>
      <c r="E13" s="68">
        <v>5280</v>
      </c>
      <c r="F13" s="69">
        <v>3334</v>
      </c>
      <c r="G13" s="69">
        <v>2318</v>
      </c>
      <c r="H13" s="69">
        <f>SUM(D13:G13)</f>
        <v>41237</v>
      </c>
      <c r="I13" s="70"/>
      <c r="J13" s="70"/>
    </row>
    <row r="14" spans="1:10" x14ac:dyDescent="0.4">
      <c r="A14" s="27"/>
      <c r="B14" s="27"/>
      <c r="C14" s="27"/>
      <c r="D14" s="71">
        <f>+D12-D13</f>
        <v>3521</v>
      </c>
      <c r="E14" s="71">
        <f>+E12-E13</f>
        <v>0</v>
      </c>
      <c r="F14" s="71">
        <f>+F12-F13</f>
        <v>387</v>
      </c>
      <c r="G14" s="71">
        <f>+G12-G13</f>
        <v>270</v>
      </c>
      <c r="H14" s="71">
        <f>+H12-H13</f>
        <v>4178</v>
      </c>
      <c r="I14" s="70"/>
      <c r="J14" s="70"/>
    </row>
    <row r="15" spans="1:10" x14ac:dyDescent="0.4">
      <c r="A15" s="27"/>
      <c r="B15" s="27"/>
      <c r="C15" s="27"/>
      <c r="D15" s="68"/>
      <c r="E15" s="68"/>
      <c r="F15" s="69"/>
      <c r="G15" s="69"/>
      <c r="H15" s="69"/>
      <c r="I15" s="70"/>
      <c r="J15" s="70"/>
    </row>
    <row r="16" spans="1:10" x14ac:dyDescent="0.4">
      <c r="A16" s="27" t="s">
        <v>762</v>
      </c>
      <c r="B16" s="27" t="s">
        <v>1406</v>
      </c>
      <c r="C16" s="27" t="s">
        <v>771</v>
      </c>
      <c r="D16" s="68">
        <v>88938</v>
      </c>
      <c r="E16" s="68">
        <v>13062</v>
      </c>
      <c r="F16" s="69">
        <v>9783</v>
      </c>
      <c r="G16" s="69">
        <v>6804</v>
      </c>
      <c r="H16" s="69">
        <f>SUM(D16:G16)</f>
        <v>118587</v>
      </c>
      <c r="I16" s="70"/>
      <c r="J16" s="70"/>
    </row>
    <row r="17" spans="1:10" x14ac:dyDescent="0.4">
      <c r="A17" s="27"/>
      <c r="B17" s="27"/>
      <c r="C17" s="27" t="s">
        <v>769</v>
      </c>
      <c r="D17" s="68">
        <v>93829</v>
      </c>
      <c r="E17" s="68">
        <v>13062</v>
      </c>
      <c r="F17" s="69">
        <v>10321</v>
      </c>
      <c r="G17" s="69">
        <v>7178</v>
      </c>
      <c r="H17" s="69">
        <f>SUM(D17:G17)</f>
        <v>124390</v>
      </c>
      <c r="I17" s="70"/>
      <c r="J17" s="70"/>
    </row>
    <row r="18" spans="1:10" x14ac:dyDescent="0.4">
      <c r="A18" s="27"/>
      <c r="B18" s="27"/>
      <c r="C18" s="27"/>
      <c r="D18" s="71">
        <f>+D16-D17</f>
        <v>-4891</v>
      </c>
      <c r="E18" s="71">
        <f>+E16-E17</f>
        <v>0</v>
      </c>
      <c r="F18" s="71">
        <f>+F16-F17</f>
        <v>-538</v>
      </c>
      <c r="G18" s="71">
        <f>+G16-G17</f>
        <v>-374</v>
      </c>
      <c r="H18" s="71">
        <f>+H16-H17</f>
        <v>-5803</v>
      </c>
      <c r="I18" s="70"/>
      <c r="J18" s="70"/>
    </row>
    <row r="19" spans="1:10" x14ac:dyDescent="0.4">
      <c r="A19" s="27"/>
      <c r="B19" s="27"/>
      <c r="C19" s="27"/>
      <c r="D19" s="68"/>
      <c r="E19" s="68"/>
      <c r="F19" s="69"/>
      <c r="G19" s="69"/>
      <c r="H19" s="69"/>
      <c r="I19" s="70"/>
      <c r="J19" s="70"/>
    </row>
    <row r="20" spans="1:10" x14ac:dyDescent="0.4">
      <c r="A20" s="27" t="s">
        <v>1407</v>
      </c>
      <c r="B20" s="27" t="s">
        <v>766</v>
      </c>
      <c r="C20" s="27" t="s">
        <v>771</v>
      </c>
      <c r="D20" s="68">
        <v>78915</v>
      </c>
      <c r="E20" s="68">
        <v>13290</v>
      </c>
      <c r="F20" s="69">
        <v>10702</v>
      </c>
      <c r="G20" s="69"/>
      <c r="H20" s="69">
        <f>SUM(D20:G20)</f>
        <v>102907</v>
      </c>
      <c r="I20" s="70"/>
      <c r="J20" s="70"/>
    </row>
    <row r="21" spans="1:10" x14ac:dyDescent="0.4">
      <c r="A21" s="27"/>
      <c r="B21" s="27"/>
      <c r="C21" s="27" t="s">
        <v>769</v>
      </c>
      <c r="D21" s="68">
        <v>73435</v>
      </c>
      <c r="E21" s="68">
        <v>13290</v>
      </c>
      <c r="F21" s="69">
        <v>10373</v>
      </c>
      <c r="G21" s="69"/>
      <c r="H21" s="69">
        <f>SUM(D21:G21)</f>
        <v>97098</v>
      </c>
      <c r="I21" s="70"/>
      <c r="J21" s="70"/>
    </row>
    <row r="22" spans="1:10" x14ac:dyDescent="0.4">
      <c r="A22" s="27"/>
      <c r="B22" s="27"/>
      <c r="C22" s="27"/>
      <c r="D22" s="71">
        <f>+D20-D21</f>
        <v>5480</v>
      </c>
      <c r="E22" s="71">
        <f>+E20-E21</f>
        <v>0</v>
      </c>
      <c r="F22" s="71">
        <f>+F20-F21</f>
        <v>329</v>
      </c>
      <c r="G22" s="71">
        <f>+G20-G21</f>
        <v>0</v>
      </c>
      <c r="H22" s="71">
        <f>+H20-H21</f>
        <v>5809</v>
      </c>
      <c r="I22" s="70"/>
      <c r="J22" s="70"/>
    </row>
    <row r="23" spans="1:10" x14ac:dyDescent="0.4">
      <c r="A23" s="27"/>
      <c r="B23" s="27"/>
      <c r="C23" s="27"/>
      <c r="D23" s="71"/>
      <c r="E23" s="71"/>
      <c r="F23" s="71"/>
      <c r="G23" s="71"/>
      <c r="H23" s="71"/>
      <c r="I23" s="70"/>
      <c r="J23" s="70"/>
    </row>
    <row r="24" spans="1:10" x14ac:dyDescent="0.4">
      <c r="A24" s="27" t="s">
        <v>764</v>
      </c>
      <c r="B24" s="27" t="s">
        <v>1409</v>
      </c>
      <c r="C24" s="27" t="s">
        <v>771</v>
      </c>
      <c r="D24" s="68">
        <v>30365</v>
      </c>
      <c r="E24" s="68">
        <v>5280</v>
      </c>
      <c r="F24" s="69">
        <v>3340</v>
      </c>
      <c r="G24" s="69">
        <v>2323</v>
      </c>
      <c r="H24" s="69">
        <f>SUM(D24:G24)</f>
        <v>41308</v>
      </c>
      <c r="I24" s="70"/>
      <c r="J24" s="70"/>
    </row>
    <row r="25" spans="1:10" x14ac:dyDescent="0.4">
      <c r="A25" s="27"/>
      <c r="B25" s="27"/>
      <c r="C25" s="27" t="s">
        <v>769</v>
      </c>
      <c r="D25" s="68">
        <v>25500</v>
      </c>
      <c r="E25" s="68">
        <v>5280</v>
      </c>
      <c r="F25" s="69">
        <v>2805</v>
      </c>
      <c r="G25" s="69">
        <v>1951</v>
      </c>
      <c r="H25" s="69">
        <f>SUM(D25:G25)</f>
        <v>35536</v>
      </c>
      <c r="I25" s="70"/>
      <c r="J25" s="70"/>
    </row>
    <row r="26" spans="1:10" x14ac:dyDescent="0.4">
      <c r="A26" s="27"/>
      <c r="B26" s="27"/>
      <c r="C26" s="27"/>
      <c r="D26" s="71">
        <f>+D24-D25</f>
        <v>4865</v>
      </c>
      <c r="E26" s="71">
        <f>+E24-E25</f>
        <v>0</v>
      </c>
      <c r="F26" s="71">
        <f>+F24-F25</f>
        <v>535</v>
      </c>
      <c r="G26" s="71">
        <f>+G24-G25</f>
        <v>372</v>
      </c>
      <c r="H26" s="71">
        <f>+H24-H25</f>
        <v>5772</v>
      </c>
      <c r="I26" s="70"/>
      <c r="J26" s="70"/>
    </row>
    <row r="27" spans="1:10" x14ac:dyDescent="0.4">
      <c r="A27" s="27"/>
      <c r="B27" s="27"/>
      <c r="C27" s="27"/>
      <c r="D27" s="68"/>
      <c r="E27" s="68"/>
      <c r="F27" s="69"/>
      <c r="G27" s="69"/>
      <c r="H27" s="69"/>
      <c r="I27" s="70"/>
      <c r="J27" s="70"/>
    </row>
    <row r="28" spans="1:10" x14ac:dyDescent="0.4">
      <c r="A28" s="27" t="s">
        <v>729</v>
      </c>
      <c r="B28" s="27" t="s">
        <v>1409</v>
      </c>
      <c r="C28" s="27" t="s">
        <v>771</v>
      </c>
      <c r="D28" s="68">
        <v>24960</v>
      </c>
      <c r="E28" s="68">
        <v>13062</v>
      </c>
      <c r="F28" s="69">
        <v>2746</v>
      </c>
      <c r="G28" s="69">
        <v>1909</v>
      </c>
      <c r="H28" s="69">
        <f>SUM(D28:G28)</f>
        <v>42677</v>
      </c>
      <c r="I28" s="70"/>
      <c r="J28" s="70"/>
    </row>
    <row r="29" spans="1:10" x14ac:dyDescent="0.4">
      <c r="A29" s="27"/>
      <c r="B29" s="27"/>
      <c r="C29" s="27" t="s">
        <v>769</v>
      </c>
      <c r="D29" s="68">
        <v>25725</v>
      </c>
      <c r="E29" s="68">
        <v>13062</v>
      </c>
      <c r="F29" s="69">
        <v>2830</v>
      </c>
      <c r="G29" s="69">
        <v>1968</v>
      </c>
      <c r="H29" s="69">
        <f>SUM(D29:G29)</f>
        <v>43585</v>
      </c>
      <c r="I29" s="70"/>
      <c r="J29" s="70"/>
    </row>
    <row r="30" spans="1:10" x14ac:dyDescent="0.4">
      <c r="A30" s="27"/>
      <c r="B30" s="27"/>
      <c r="C30" s="27"/>
      <c r="D30" s="71">
        <f>+D28-D29</f>
        <v>-765</v>
      </c>
      <c r="E30" s="71">
        <f>+E28-E29</f>
        <v>0</v>
      </c>
      <c r="F30" s="71">
        <f>+F28-F29</f>
        <v>-84</v>
      </c>
      <c r="G30" s="71">
        <f>+G28-G29</f>
        <v>-59</v>
      </c>
      <c r="H30" s="71">
        <f>+H28-H29</f>
        <v>-908</v>
      </c>
      <c r="I30" s="70"/>
      <c r="J30" s="70"/>
    </row>
    <row r="31" spans="1:10" x14ac:dyDescent="0.4">
      <c r="A31" s="27"/>
      <c r="B31" s="27"/>
      <c r="C31" s="27"/>
      <c r="D31" s="68"/>
      <c r="E31" s="68"/>
      <c r="F31" s="69"/>
      <c r="G31" s="69"/>
      <c r="H31" s="69"/>
      <c r="I31" s="70"/>
      <c r="J31" s="70"/>
    </row>
    <row r="32" spans="1:10" x14ac:dyDescent="0.4">
      <c r="A32" s="27" t="s">
        <v>1410</v>
      </c>
      <c r="B32" s="27" t="s">
        <v>1389</v>
      </c>
      <c r="C32" s="27" t="s">
        <v>771</v>
      </c>
      <c r="D32" s="68">
        <v>93829</v>
      </c>
      <c r="E32" s="68">
        <v>13290</v>
      </c>
      <c r="F32" s="69">
        <v>11597</v>
      </c>
      <c r="G32" s="69"/>
      <c r="H32" s="69">
        <f>SUM(D32:G32)</f>
        <v>118716</v>
      </c>
      <c r="I32" s="70"/>
      <c r="J32" s="70"/>
    </row>
    <row r="33" spans="1:10" x14ac:dyDescent="0.4">
      <c r="C33" s="27" t="s">
        <v>769</v>
      </c>
      <c r="D33" s="68">
        <v>72965</v>
      </c>
      <c r="E33" s="68">
        <v>13290</v>
      </c>
      <c r="F33" s="69">
        <v>10345</v>
      </c>
      <c r="G33" s="69"/>
      <c r="H33" s="69">
        <f>SUM(D33:G33)</f>
        <v>96600</v>
      </c>
      <c r="I33" s="70"/>
      <c r="J33" s="70"/>
    </row>
    <row r="34" spans="1:10" x14ac:dyDescent="0.4">
      <c r="C34" s="27"/>
      <c r="D34" s="71">
        <f>+D32-D33</f>
        <v>20864</v>
      </c>
      <c r="E34" s="71">
        <f>+E32-E33</f>
        <v>0</v>
      </c>
      <c r="F34" s="71">
        <f>+F32-F33</f>
        <v>1252</v>
      </c>
      <c r="G34" s="71">
        <f>+G32-G33</f>
        <v>0</v>
      </c>
      <c r="H34" s="71">
        <f>+H32-H33</f>
        <v>22116</v>
      </c>
      <c r="I34" s="70"/>
      <c r="J34" s="70"/>
    </row>
    <row r="35" spans="1:10" x14ac:dyDescent="0.4">
      <c r="C35" s="27"/>
      <c r="D35" s="68"/>
      <c r="E35" s="68"/>
      <c r="F35" s="69"/>
      <c r="G35" s="69"/>
      <c r="H35" s="69"/>
      <c r="I35" s="70"/>
      <c r="J35" s="70"/>
    </row>
    <row r="36" spans="1:10" x14ac:dyDescent="0.4">
      <c r="A36" s="3" t="s">
        <v>768</v>
      </c>
      <c r="C36" s="27" t="s">
        <v>771</v>
      </c>
      <c r="D36" s="68">
        <f t="shared" ref="D36:H37" si="0">+D8+D12+D16+D20+D24+D28+D32</f>
        <v>376833</v>
      </c>
      <c r="E36" s="68">
        <f t="shared" si="0"/>
        <v>68544</v>
      </c>
      <c r="F36" s="68">
        <f t="shared" si="0"/>
        <v>44749</v>
      </c>
      <c r="G36" s="68">
        <f t="shared" si="0"/>
        <v>15613</v>
      </c>
      <c r="H36" s="68">
        <f t="shared" si="0"/>
        <v>505739</v>
      </c>
      <c r="I36" s="70"/>
      <c r="J36" s="70"/>
    </row>
    <row r="37" spans="1:10" x14ac:dyDescent="0.4">
      <c r="C37" s="27" t="s">
        <v>769</v>
      </c>
      <c r="D37" s="68">
        <f t="shared" si="0"/>
        <v>344259</v>
      </c>
      <c r="E37" s="68">
        <f t="shared" si="0"/>
        <v>68544</v>
      </c>
      <c r="F37" s="68">
        <f t="shared" si="0"/>
        <v>42483</v>
      </c>
      <c r="G37" s="68">
        <f t="shared" si="0"/>
        <v>15136</v>
      </c>
      <c r="H37" s="68">
        <f t="shared" si="0"/>
        <v>470422</v>
      </c>
      <c r="I37" s="70"/>
      <c r="J37" s="70"/>
    </row>
    <row r="38" spans="1:10" x14ac:dyDescent="0.4">
      <c r="C38" s="27"/>
      <c r="D38" s="71">
        <f>+D36-D37</f>
        <v>32574</v>
      </c>
      <c r="E38" s="71">
        <f>+E36-E37</f>
        <v>0</v>
      </c>
      <c r="F38" s="71">
        <f>+F36-F37</f>
        <v>2266</v>
      </c>
      <c r="G38" s="71">
        <f>+G36-G37</f>
        <v>477</v>
      </c>
      <c r="H38" s="71">
        <f>+H36-H37</f>
        <v>35317</v>
      </c>
      <c r="I38" s="70"/>
      <c r="J38" s="70"/>
    </row>
    <row r="39" spans="1:10" ht="14.25" x14ac:dyDescent="0.45">
      <c r="A39" s="72"/>
      <c r="B39" s="72"/>
      <c r="C39" s="72"/>
      <c r="D39" s="73"/>
      <c r="E39" s="73"/>
      <c r="F39" s="73"/>
      <c r="G39" s="73"/>
      <c r="H39" s="73"/>
      <c r="I39" s="70"/>
      <c r="J39" s="70"/>
    </row>
    <row r="40" spans="1:10" x14ac:dyDescent="0.4">
      <c r="A40" s="3" t="s">
        <v>773</v>
      </c>
      <c r="C40" s="27" t="s">
        <v>771</v>
      </c>
      <c r="D40" s="68">
        <v>1574216</v>
      </c>
      <c r="E40" s="68">
        <v>285046</v>
      </c>
      <c r="F40" s="69">
        <v>191224</v>
      </c>
      <c r="G40" s="69">
        <v>63524</v>
      </c>
      <c r="H40" s="69">
        <v>2114010</v>
      </c>
      <c r="I40" s="70"/>
      <c r="J40" s="70"/>
    </row>
    <row r="41" spans="1:10" x14ac:dyDescent="0.4">
      <c r="C41" s="4" t="s">
        <v>769</v>
      </c>
      <c r="D41" s="69">
        <v>1541642</v>
      </c>
      <c r="E41" s="69">
        <v>285046</v>
      </c>
      <c r="F41" s="69">
        <v>188958</v>
      </c>
      <c r="G41" s="69">
        <v>63048</v>
      </c>
      <c r="H41" s="69">
        <v>2078694</v>
      </c>
      <c r="I41" s="70"/>
      <c r="J41" s="70"/>
    </row>
    <row r="42" spans="1:10" x14ac:dyDescent="0.4">
      <c r="D42" s="71">
        <f>+D40-D41</f>
        <v>32574</v>
      </c>
      <c r="E42" s="71">
        <f>+E40-E41</f>
        <v>0</v>
      </c>
      <c r="F42" s="71">
        <f>+F40-F41</f>
        <v>2266</v>
      </c>
      <c r="G42" s="71">
        <f>+G40-G41</f>
        <v>476</v>
      </c>
      <c r="H42" s="71">
        <f>+H40-H41</f>
        <v>35316</v>
      </c>
      <c r="I42" s="70"/>
      <c r="J42" s="70"/>
    </row>
    <row r="43" spans="1:10" x14ac:dyDescent="0.4">
      <c r="D43" s="70"/>
      <c r="E43" s="70"/>
      <c r="F43" s="70"/>
      <c r="G43" s="69"/>
      <c r="H43" s="69"/>
      <c r="I43" s="70"/>
      <c r="J43" s="70"/>
    </row>
    <row r="44" spans="1:10" x14ac:dyDescent="0.4">
      <c r="D44" s="70"/>
      <c r="E44" s="70"/>
      <c r="F44" s="70"/>
      <c r="G44" s="69"/>
      <c r="H44" s="69"/>
      <c r="I44" s="70"/>
      <c r="J44" s="70"/>
    </row>
    <row r="45" spans="1:10" x14ac:dyDescent="0.4">
      <c r="D45" s="70"/>
      <c r="E45" s="70"/>
      <c r="F45" s="70"/>
      <c r="G45" s="69"/>
      <c r="H45" s="69"/>
      <c r="I45" s="70"/>
      <c r="J45" s="70"/>
    </row>
    <row r="46" spans="1:10" x14ac:dyDescent="0.4">
      <c r="D46" s="70"/>
      <c r="E46" s="70"/>
      <c r="F46" s="70"/>
      <c r="G46" s="69"/>
      <c r="H46" s="69"/>
      <c r="I46" s="70"/>
      <c r="J46" s="70"/>
    </row>
    <row r="47" spans="1:10" x14ac:dyDescent="0.4">
      <c r="D47" s="70"/>
      <c r="E47" s="70"/>
      <c r="F47" s="70"/>
      <c r="G47" s="69"/>
      <c r="H47" s="69"/>
      <c r="I47" s="70"/>
      <c r="J47" s="70"/>
    </row>
    <row r="48" spans="1:10" x14ac:dyDescent="0.4">
      <c r="D48" s="70"/>
      <c r="E48" s="70"/>
      <c r="F48" s="70"/>
      <c r="G48" s="69"/>
      <c r="H48" s="69"/>
      <c r="I48" s="70"/>
      <c r="J48" s="70"/>
    </row>
    <row r="49" spans="4:10" x14ac:dyDescent="0.4">
      <c r="D49" s="70"/>
      <c r="E49" s="70"/>
      <c r="F49" s="70"/>
      <c r="G49" s="69"/>
      <c r="H49" s="69"/>
      <c r="I49" s="70"/>
      <c r="J49" s="70"/>
    </row>
    <row r="50" spans="4:10" x14ac:dyDescent="0.4">
      <c r="D50" s="70"/>
      <c r="E50" s="70"/>
      <c r="F50" s="70"/>
      <c r="G50" s="69"/>
      <c r="H50" s="69"/>
      <c r="I50" s="70"/>
      <c r="J50" s="70"/>
    </row>
    <row r="51" spans="4:10" x14ac:dyDescent="0.4">
      <c r="D51" s="70"/>
      <c r="E51" s="70"/>
      <c r="F51" s="70"/>
      <c r="G51" s="69"/>
      <c r="H51" s="69"/>
      <c r="I51" s="70"/>
      <c r="J51" s="70"/>
    </row>
    <row r="52" spans="4:10" x14ac:dyDescent="0.4">
      <c r="D52" s="70"/>
      <c r="E52" s="70"/>
      <c r="F52" s="70"/>
      <c r="G52" s="69"/>
      <c r="H52" s="69"/>
      <c r="I52" s="70"/>
      <c r="J52" s="70"/>
    </row>
    <row r="53" spans="4:10" x14ac:dyDescent="0.4">
      <c r="D53" s="70"/>
      <c r="E53" s="70"/>
      <c r="F53" s="70"/>
      <c r="G53" s="69"/>
      <c r="H53" s="69"/>
      <c r="I53" s="70"/>
      <c r="J53" s="70"/>
    </row>
    <row r="54" spans="4:10" x14ac:dyDescent="0.4">
      <c r="D54" s="70"/>
      <c r="E54" s="70"/>
      <c r="F54" s="70"/>
      <c r="G54" s="69"/>
      <c r="H54" s="69"/>
      <c r="I54" s="70"/>
      <c r="J54" s="70"/>
    </row>
    <row r="55" spans="4:10" x14ac:dyDescent="0.4">
      <c r="D55" s="70"/>
      <c r="E55" s="70"/>
      <c r="F55" s="70"/>
      <c r="G55" s="69"/>
      <c r="H55" s="69"/>
      <c r="I55" s="70"/>
      <c r="J55" s="70"/>
    </row>
    <row r="56" spans="4:10" x14ac:dyDescent="0.4">
      <c r="D56" s="70"/>
      <c r="E56" s="70"/>
      <c r="F56" s="70"/>
      <c r="G56" s="69"/>
      <c r="H56" s="69"/>
      <c r="I56" s="70"/>
      <c r="J56" s="70"/>
    </row>
    <row r="57" spans="4:10" x14ac:dyDescent="0.4">
      <c r="D57" s="70"/>
      <c r="E57" s="70"/>
      <c r="F57" s="70"/>
      <c r="G57" s="69"/>
      <c r="H57" s="69"/>
      <c r="I57" s="70"/>
      <c r="J57" s="70"/>
    </row>
    <row r="58" spans="4:10" x14ac:dyDescent="0.4">
      <c r="D58" s="70"/>
      <c r="E58" s="70"/>
      <c r="F58" s="70"/>
      <c r="G58" s="69"/>
      <c r="H58" s="69"/>
      <c r="I58" s="70"/>
      <c r="J58" s="70"/>
    </row>
    <row r="59" spans="4:10" x14ac:dyDescent="0.4">
      <c r="D59" s="70"/>
      <c r="E59" s="70"/>
      <c r="F59" s="70"/>
      <c r="G59" s="69"/>
      <c r="H59" s="69"/>
      <c r="I59" s="70"/>
      <c r="J59" s="70"/>
    </row>
    <row r="60" spans="4:10" x14ac:dyDescent="0.4">
      <c r="D60" s="70"/>
      <c r="E60" s="70"/>
      <c r="F60" s="70"/>
      <c r="G60" s="69"/>
      <c r="H60" s="69"/>
      <c r="I60" s="70"/>
      <c r="J60" s="70"/>
    </row>
    <row r="61" spans="4:10" x14ac:dyDescent="0.4">
      <c r="D61" s="70"/>
      <c r="E61" s="70"/>
      <c r="F61" s="70"/>
      <c r="G61" s="69"/>
      <c r="H61" s="69"/>
      <c r="I61" s="70"/>
      <c r="J61" s="70"/>
    </row>
    <row r="62" spans="4:10" x14ac:dyDescent="0.4">
      <c r="D62" s="70"/>
      <c r="E62" s="70"/>
      <c r="F62" s="70"/>
      <c r="G62" s="69"/>
      <c r="H62" s="69"/>
      <c r="I62" s="70"/>
      <c r="J62" s="70"/>
    </row>
    <row r="63" spans="4:10" x14ac:dyDescent="0.4">
      <c r="D63" s="70"/>
      <c r="E63" s="70"/>
      <c r="F63" s="70"/>
      <c r="G63" s="69"/>
      <c r="H63" s="69"/>
      <c r="I63" s="70"/>
      <c r="J63" s="70"/>
    </row>
    <row r="64" spans="4:10" x14ac:dyDescent="0.4">
      <c r="D64" s="70"/>
      <c r="E64" s="70"/>
      <c r="F64" s="70"/>
      <c r="G64" s="69"/>
      <c r="H64" s="69"/>
      <c r="I64" s="70"/>
      <c r="J64" s="70"/>
    </row>
    <row r="65" spans="4:10" x14ac:dyDescent="0.4">
      <c r="D65" s="70"/>
      <c r="E65" s="70"/>
      <c r="F65" s="70"/>
      <c r="G65" s="69"/>
      <c r="H65" s="69"/>
      <c r="I65" s="70"/>
      <c r="J65" s="70"/>
    </row>
    <row r="66" spans="4:10" x14ac:dyDescent="0.4">
      <c r="D66" s="70"/>
      <c r="E66" s="70"/>
      <c r="F66" s="70"/>
      <c r="G66" s="69"/>
      <c r="H66" s="69"/>
      <c r="I66" s="70"/>
      <c r="J66" s="70"/>
    </row>
    <row r="67" spans="4:10" x14ac:dyDescent="0.4">
      <c r="D67" s="70"/>
      <c r="E67" s="70"/>
      <c r="F67" s="70"/>
      <c r="G67" s="69"/>
      <c r="H67" s="69"/>
      <c r="I67" s="70"/>
      <c r="J67" s="70"/>
    </row>
    <row r="68" spans="4:10" x14ac:dyDescent="0.4">
      <c r="D68" s="70"/>
      <c r="E68" s="70"/>
      <c r="F68" s="70"/>
      <c r="G68" s="69"/>
      <c r="H68" s="69"/>
      <c r="I68" s="70"/>
      <c r="J68" s="70"/>
    </row>
    <row r="69" spans="4:10" x14ac:dyDescent="0.4">
      <c r="D69" s="70"/>
      <c r="E69" s="70"/>
      <c r="F69" s="70"/>
      <c r="G69" s="69"/>
      <c r="H69" s="69"/>
      <c r="I69" s="70"/>
      <c r="J69" s="70"/>
    </row>
    <row r="70" spans="4:10" x14ac:dyDescent="0.4">
      <c r="D70" s="70"/>
      <c r="E70" s="70"/>
      <c r="F70" s="70"/>
      <c r="G70" s="69"/>
      <c r="H70" s="69"/>
      <c r="I70" s="70"/>
      <c r="J70" s="70"/>
    </row>
    <row r="71" spans="4:10" x14ac:dyDescent="0.4">
      <c r="D71" s="70"/>
      <c r="E71" s="70"/>
      <c r="F71" s="70"/>
      <c r="G71" s="69"/>
      <c r="H71" s="69"/>
      <c r="I71" s="70"/>
      <c r="J71" s="70"/>
    </row>
    <row r="72" spans="4:10" x14ac:dyDescent="0.4">
      <c r="D72" s="70"/>
      <c r="E72" s="70"/>
      <c r="F72" s="70"/>
      <c r="G72" s="69"/>
      <c r="H72" s="69"/>
      <c r="I72" s="70"/>
      <c r="J72" s="70"/>
    </row>
    <row r="73" spans="4:10" x14ac:dyDescent="0.4">
      <c r="D73" s="70"/>
      <c r="E73" s="70"/>
      <c r="F73" s="70"/>
      <c r="G73" s="69"/>
      <c r="H73" s="69"/>
      <c r="I73" s="70"/>
      <c r="J73" s="70"/>
    </row>
    <row r="74" spans="4:10" x14ac:dyDescent="0.4">
      <c r="D74" s="70"/>
      <c r="E74" s="70"/>
      <c r="F74" s="70"/>
      <c r="G74" s="69"/>
      <c r="H74" s="69"/>
      <c r="I74" s="70"/>
      <c r="J74" s="70"/>
    </row>
    <row r="75" spans="4:10" x14ac:dyDescent="0.4">
      <c r="D75" s="70"/>
      <c r="E75" s="70"/>
      <c r="F75" s="70"/>
      <c r="G75" s="69"/>
      <c r="H75" s="69"/>
      <c r="I75" s="70"/>
      <c r="J75" s="70"/>
    </row>
    <row r="76" spans="4:10" x14ac:dyDescent="0.4">
      <c r="D76" s="70"/>
      <c r="E76" s="70"/>
      <c r="F76" s="70"/>
      <c r="G76" s="69"/>
      <c r="H76" s="69"/>
      <c r="I76" s="70"/>
      <c r="J76" s="70"/>
    </row>
    <row r="77" spans="4:10" x14ac:dyDescent="0.4">
      <c r="D77" s="70"/>
      <c r="E77" s="70"/>
      <c r="F77" s="70"/>
      <c r="G77" s="69"/>
      <c r="H77" s="69"/>
      <c r="I77" s="70"/>
      <c r="J77" s="70"/>
    </row>
    <row r="78" spans="4:10" x14ac:dyDescent="0.4">
      <c r="D78" s="70"/>
      <c r="E78" s="70"/>
      <c r="F78" s="70"/>
      <c r="G78" s="69"/>
      <c r="H78" s="69"/>
      <c r="I78" s="70"/>
      <c r="J78" s="70"/>
    </row>
    <row r="79" spans="4:10" x14ac:dyDescent="0.4">
      <c r="D79" s="70"/>
      <c r="E79" s="70"/>
      <c r="F79" s="70"/>
      <c r="G79" s="69"/>
      <c r="H79" s="69"/>
      <c r="I79" s="70"/>
      <c r="J79" s="70"/>
    </row>
    <row r="80" spans="4:10" x14ac:dyDescent="0.4">
      <c r="D80" s="70"/>
      <c r="E80" s="70"/>
      <c r="F80" s="70"/>
      <c r="G80" s="69"/>
      <c r="H80" s="69"/>
      <c r="I80" s="70"/>
      <c r="J80" s="70"/>
    </row>
    <row r="81" spans="4:10" x14ac:dyDescent="0.4">
      <c r="D81" s="70"/>
      <c r="E81" s="70"/>
      <c r="F81" s="70"/>
      <c r="G81" s="69"/>
      <c r="H81" s="69"/>
      <c r="I81" s="70"/>
      <c r="J81" s="70"/>
    </row>
    <row r="82" spans="4:10" x14ac:dyDescent="0.4">
      <c r="D82" s="70"/>
      <c r="E82" s="70"/>
      <c r="F82" s="70"/>
      <c r="G82" s="69"/>
      <c r="H82" s="69"/>
      <c r="I82" s="70"/>
      <c r="J82" s="70"/>
    </row>
    <row r="83" spans="4:10" x14ac:dyDescent="0.4">
      <c r="D83" s="70"/>
      <c r="E83" s="70"/>
      <c r="F83" s="70"/>
      <c r="G83" s="69"/>
      <c r="H83" s="69"/>
      <c r="I83" s="70"/>
      <c r="J83" s="70"/>
    </row>
    <row r="84" spans="4:10" x14ac:dyDescent="0.4">
      <c r="D84" s="70"/>
      <c r="E84" s="70"/>
      <c r="F84" s="70"/>
      <c r="G84" s="69"/>
      <c r="H84" s="69"/>
      <c r="I84" s="70"/>
      <c r="J84" s="70"/>
    </row>
    <row r="85" spans="4:10" x14ac:dyDescent="0.4">
      <c r="D85" s="70"/>
      <c r="E85" s="70"/>
      <c r="F85" s="70"/>
      <c r="G85" s="69"/>
      <c r="H85" s="69"/>
      <c r="I85" s="70"/>
      <c r="J85" s="70"/>
    </row>
    <row r="86" spans="4:10" x14ac:dyDescent="0.4">
      <c r="D86" s="70"/>
      <c r="E86" s="70"/>
      <c r="F86" s="70"/>
      <c r="G86" s="69"/>
      <c r="H86" s="69"/>
      <c r="I86" s="70"/>
      <c r="J86" s="70"/>
    </row>
    <row r="87" spans="4:10" x14ac:dyDescent="0.4">
      <c r="D87" s="70"/>
      <c r="E87" s="70"/>
      <c r="F87" s="70"/>
      <c r="G87" s="69"/>
      <c r="H87" s="69"/>
      <c r="I87" s="70"/>
      <c r="J87" s="70"/>
    </row>
    <row r="88" spans="4:10" x14ac:dyDescent="0.4">
      <c r="D88" s="70"/>
      <c r="E88" s="70"/>
      <c r="F88" s="70"/>
      <c r="G88" s="69"/>
      <c r="H88" s="69"/>
      <c r="I88" s="70"/>
      <c r="J88" s="70"/>
    </row>
    <row r="89" spans="4:10" x14ac:dyDescent="0.4">
      <c r="D89" s="70"/>
      <c r="E89" s="70"/>
      <c r="F89" s="70"/>
      <c r="G89" s="69"/>
      <c r="H89" s="69"/>
      <c r="I89" s="70"/>
      <c r="J89" s="70"/>
    </row>
    <row r="90" spans="4:10" x14ac:dyDescent="0.4">
      <c r="D90" s="70"/>
      <c r="E90" s="70"/>
      <c r="F90" s="70"/>
      <c r="G90" s="69"/>
      <c r="H90" s="69"/>
      <c r="I90" s="70"/>
      <c r="J90" s="70"/>
    </row>
    <row r="91" spans="4:10" x14ac:dyDescent="0.4">
      <c r="D91" s="70"/>
      <c r="E91" s="70"/>
      <c r="F91" s="70"/>
      <c r="G91" s="69"/>
      <c r="H91" s="69"/>
      <c r="I91" s="70"/>
      <c r="J91" s="70"/>
    </row>
    <row r="92" spans="4:10" x14ac:dyDescent="0.4">
      <c r="D92" s="70"/>
      <c r="E92" s="70"/>
      <c r="F92" s="70"/>
      <c r="G92" s="69"/>
      <c r="H92" s="69"/>
      <c r="I92" s="70"/>
      <c r="J92" s="70"/>
    </row>
    <row r="93" spans="4:10" x14ac:dyDescent="0.4">
      <c r="D93" s="70"/>
      <c r="E93" s="70"/>
      <c r="F93" s="70"/>
      <c r="G93" s="69"/>
      <c r="H93" s="69"/>
      <c r="I93" s="70"/>
      <c r="J93" s="70"/>
    </row>
    <row r="94" spans="4:10" x14ac:dyDescent="0.4">
      <c r="D94" s="70"/>
      <c r="E94" s="70"/>
      <c r="F94" s="70"/>
      <c r="G94" s="69"/>
      <c r="H94" s="69"/>
      <c r="I94" s="70"/>
      <c r="J94" s="70"/>
    </row>
    <row r="95" spans="4:10" x14ac:dyDescent="0.4">
      <c r="D95" s="70"/>
      <c r="E95" s="70"/>
      <c r="F95" s="70"/>
      <c r="G95" s="69"/>
      <c r="H95" s="69"/>
      <c r="I95" s="70"/>
      <c r="J95" s="70"/>
    </row>
    <row r="96" spans="4:10" x14ac:dyDescent="0.4">
      <c r="D96" s="70"/>
      <c r="E96" s="70"/>
      <c r="F96" s="70"/>
      <c r="G96" s="69"/>
      <c r="H96" s="69"/>
      <c r="I96" s="70"/>
      <c r="J96" s="70"/>
    </row>
    <row r="97" spans="4:10" x14ac:dyDescent="0.4">
      <c r="D97" s="70"/>
      <c r="E97" s="70"/>
      <c r="F97" s="70"/>
      <c r="G97" s="69"/>
      <c r="H97" s="69"/>
      <c r="I97" s="70"/>
      <c r="J97" s="70"/>
    </row>
    <row r="98" spans="4:10" x14ac:dyDescent="0.4">
      <c r="D98" s="70"/>
      <c r="E98" s="70"/>
      <c r="F98" s="70"/>
      <c r="G98" s="69"/>
      <c r="H98" s="69"/>
      <c r="I98" s="70"/>
      <c r="J98" s="70"/>
    </row>
    <row r="99" spans="4:10" x14ac:dyDescent="0.4">
      <c r="D99" s="70"/>
      <c r="E99" s="70"/>
      <c r="F99" s="70"/>
      <c r="G99" s="69"/>
      <c r="H99" s="69"/>
      <c r="I99" s="70"/>
      <c r="J99" s="70"/>
    </row>
    <row r="100" spans="4:10" x14ac:dyDescent="0.4">
      <c r="D100" s="70"/>
      <c r="E100" s="70"/>
      <c r="F100" s="70"/>
      <c r="G100" s="69"/>
      <c r="H100" s="69"/>
      <c r="I100" s="70"/>
      <c r="J100" s="70"/>
    </row>
    <row r="101" spans="4:10" x14ac:dyDescent="0.4">
      <c r="D101" s="70"/>
      <c r="E101" s="70"/>
      <c r="F101" s="70"/>
      <c r="G101" s="69"/>
      <c r="H101" s="69"/>
      <c r="I101" s="70"/>
      <c r="J101" s="70"/>
    </row>
    <row r="102" spans="4:10" x14ac:dyDescent="0.4">
      <c r="D102" s="70"/>
      <c r="E102" s="70"/>
      <c r="F102" s="70"/>
      <c r="G102" s="69"/>
      <c r="H102" s="69"/>
      <c r="I102" s="70"/>
      <c r="J102" s="70"/>
    </row>
    <row r="103" spans="4:10" x14ac:dyDescent="0.4">
      <c r="D103" s="70"/>
      <c r="E103" s="70"/>
      <c r="F103" s="70"/>
      <c r="G103" s="69"/>
      <c r="H103" s="69"/>
      <c r="I103" s="70"/>
      <c r="J103" s="70"/>
    </row>
    <row r="104" spans="4:10" x14ac:dyDescent="0.4">
      <c r="D104" s="70"/>
      <c r="E104" s="70"/>
      <c r="F104" s="70"/>
      <c r="G104" s="69"/>
      <c r="H104" s="69"/>
      <c r="I104" s="70"/>
      <c r="J104" s="70"/>
    </row>
    <row r="105" spans="4:10" x14ac:dyDescent="0.4">
      <c r="D105" s="70"/>
      <c r="E105" s="70"/>
      <c r="F105" s="70"/>
      <c r="G105" s="69"/>
      <c r="H105" s="69"/>
      <c r="I105" s="70"/>
      <c r="J105" s="70"/>
    </row>
    <row r="106" spans="4:10" x14ac:dyDescent="0.4">
      <c r="D106" s="70"/>
      <c r="E106" s="70"/>
      <c r="F106" s="70"/>
      <c r="G106" s="69"/>
      <c r="H106" s="69"/>
      <c r="I106" s="70"/>
      <c r="J106" s="70"/>
    </row>
    <row r="107" spans="4:10" x14ac:dyDescent="0.4">
      <c r="D107" s="70"/>
      <c r="E107" s="70"/>
      <c r="F107" s="70"/>
      <c r="G107" s="69"/>
      <c r="H107" s="69"/>
      <c r="I107" s="70"/>
      <c r="J107" s="70"/>
    </row>
    <row r="108" spans="4:10" x14ac:dyDescent="0.4">
      <c r="D108" s="70"/>
      <c r="E108" s="70"/>
      <c r="F108" s="70"/>
      <c r="G108" s="69"/>
      <c r="H108" s="69"/>
      <c r="I108" s="70"/>
      <c r="J108" s="70"/>
    </row>
    <row r="109" spans="4:10" x14ac:dyDescent="0.4">
      <c r="D109" s="70"/>
      <c r="E109" s="70"/>
      <c r="F109" s="70"/>
      <c r="G109" s="69"/>
      <c r="H109" s="69"/>
      <c r="I109" s="70"/>
      <c r="J109" s="70"/>
    </row>
    <row r="110" spans="4:10" x14ac:dyDescent="0.4">
      <c r="D110" s="70"/>
      <c r="E110" s="70"/>
      <c r="F110" s="70"/>
      <c r="G110" s="69"/>
      <c r="H110" s="69"/>
      <c r="I110" s="70"/>
      <c r="J110" s="70"/>
    </row>
    <row r="111" spans="4:10" x14ac:dyDescent="0.4">
      <c r="D111" s="70"/>
      <c r="E111" s="70"/>
      <c r="F111" s="70"/>
      <c r="G111" s="69"/>
      <c r="H111" s="69"/>
      <c r="I111" s="70"/>
      <c r="J111" s="70"/>
    </row>
    <row r="112" spans="4:10" x14ac:dyDescent="0.4">
      <c r="D112" s="70"/>
      <c r="E112" s="70"/>
      <c r="F112" s="70"/>
      <c r="G112" s="69"/>
      <c r="H112" s="69"/>
      <c r="I112" s="70"/>
      <c r="J112" s="70"/>
    </row>
    <row r="113" spans="4:10" x14ac:dyDescent="0.4">
      <c r="D113" s="70"/>
      <c r="E113" s="70"/>
      <c r="F113" s="70"/>
      <c r="G113" s="69"/>
      <c r="H113" s="69"/>
      <c r="I113" s="70"/>
      <c r="J113" s="70"/>
    </row>
    <row r="114" spans="4:10" x14ac:dyDescent="0.4">
      <c r="D114" s="70"/>
      <c r="E114" s="70"/>
      <c r="F114" s="70"/>
      <c r="G114" s="69"/>
      <c r="H114" s="69"/>
      <c r="I114" s="70"/>
      <c r="J114" s="70"/>
    </row>
    <row r="115" spans="4:10" x14ac:dyDescent="0.4">
      <c r="D115" s="70"/>
      <c r="E115" s="70"/>
      <c r="F115" s="70"/>
      <c r="G115" s="69"/>
      <c r="H115" s="69"/>
      <c r="I115" s="70"/>
      <c r="J115" s="70"/>
    </row>
    <row r="116" spans="4:10" x14ac:dyDescent="0.4">
      <c r="D116" s="70"/>
      <c r="E116" s="70"/>
      <c r="F116" s="70"/>
      <c r="G116" s="69"/>
      <c r="H116" s="69"/>
      <c r="I116" s="70"/>
      <c r="J116" s="70"/>
    </row>
    <row r="117" spans="4:10" x14ac:dyDescent="0.4">
      <c r="D117" s="70"/>
      <c r="E117" s="70"/>
      <c r="F117" s="70"/>
      <c r="G117" s="69"/>
      <c r="H117" s="69"/>
      <c r="I117" s="70"/>
      <c r="J117" s="70"/>
    </row>
    <row r="118" spans="4:10" x14ac:dyDescent="0.4">
      <c r="D118" s="70"/>
      <c r="E118" s="70"/>
      <c r="F118" s="70"/>
      <c r="G118" s="69"/>
      <c r="H118" s="69"/>
      <c r="I118" s="70"/>
      <c r="J118" s="70"/>
    </row>
    <row r="119" spans="4:10" x14ac:dyDescent="0.4">
      <c r="D119" s="70"/>
      <c r="E119" s="70"/>
      <c r="F119" s="70"/>
      <c r="G119" s="69"/>
      <c r="H119" s="69"/>
      <c r="I119" s="70"/>
      <c r="J119" s="70"/>
    </row>
    <row r="120" spans="4:10" x14ac:dyDescent="0.4">
      <c r="D120" s="70"/>
      <c r="E120" s="70"/>
      <c r="F120" s="70"/>
      <c r="G120" s="69"/>
      <c r="H120" s="69"/>
      <c r="I120" s="70"/>
      <c r="J120" s="70"/>
    </row>
    <row r="121" spans="4:10" x14ac:dyDescent="0.4">
      <c r="D121" s="70"/>
      <c r="E121" s="70"/>
      <c r="F121" s="70"/>
      <c r="G121" s="69"/>
      <c r="H121" s="69"/>
      <c r="I121" s="70"/>
      <c r="J121" s="70"/>
    </row>
    <row r="122" spans="4:10" x14ac:dyDescent="0.4">
      <c r="D122" s="70"/>
      <c r="E122" s="70"/>
      <c r="F122" s="70"/>
      <c r="G122" s="69"/>
      <c r="H122" s="69"/>
      <c r="I122" s="70"/>
      <c r="J122" s="70"/>
    </row>
    <row r="123" spans="4:10" x14ac:dyDescent="0.4">
      <c r="D123" s="70"/>
      <c r="E123" s="70"/>
      <c r="F123" s="70"/>
      <c r="G123" s="69"/>
      <c r="H123" s="69"/>
      <c r="I123" s="70"/>
      <c r="J123" s="70"/>
    </row>
    <row r="124" spans="4:10" x14ac:dyDescent="0.4">
      <c r="D124" s="70"/>
      <c r="E124" s="70"/>
      <c r="F124" s="70"/>
      <c r="G124" s="69"/>
      <c r="H124" s="69"/>
      <c r="I124" s="70"/>
      <c r="J124" s="70"/>
    </row>
    <row r="125" spans="4:10" x14ac:dyDescent="0.4">
      <c r="D125" s="70"/>
      <c r="E125" s="70"/>
      <c r="F125" s="70"/>
      <c r="G125" s="69"/>
      <c r="H125" s="69"/>
      <c r="I125" s="70"/>
      <c r="J125" s="70"/>
    </row>
    <row r="126" spans="4:10" x14ac:dyDescent="0.4">
      <c r="D126" s="70"/>
      <c r="E126" s="70"/>
      <c r="F126" s="70"/>
      <c r="G126" s="69"/>
      <c r="H126" s="69"/>
      <c r="I126" s="70"/>
      <c r="J126" s="70"/>
    </row>
    <row r="127" spans="4:10" x14ac:dyDescent="0.4">
      <c r="D127" s="70"/>
      <c r="E127" s="70"/>
      <c r="F127" s="70"/>
      <c r="G127" s="69"/>
      <c r="H127" s="69"/>
      <c r="I127" s="70"/>
      <c r="J127" s="70"/>
    </row>
    <row r="128" spans="4:10" x14ac:dyDescent="0.4">
      <c r="D128" s="70"/>
      <c r="E128" s="70"/>
      <c r="F128" s="70"/>
      <c r="G128" s="69"/>
      <c r="H128" s="69"/>
      <c r="I128" s="70"/>
      <c r="J128" s="70"/>
    </row>
    <row r="129" spans="4:10" x14ac:dyDescent="0.4">
      <c r="D129" s="70"/>
      <c r="E129" s="70"/>
      <c r="F129" s="70"/>
      <c r="G129" s="69"/>
      <c r="H129" s="69"/>
      <c r="I129" s="70"/>
      <c r="J129" s="70"/>
    </row>
    <row r="130" spans="4:10" x14ac:dyDescent="0.4">
      <c r="D130" s="70"/>
      <c r="E130" s="70"/>
      <c r="F130" s="70"/>
      <c r="G130" s="69"/>
      <c r="H130" s="69"/>
      <c r="I130" s="70"/>
      <c r="J130" s="70"/>
    </row>
    <row r="131" spans="4:10" x14ac:dyDescent="0.4">
      <c r="D131" s="70"/>
      <c r="E131" s="70"/>
      <c r="F131" s="70"/>
      <c r="G131" s="69"/>
      <c r="H131" s="69"/>
      <c r="I131" s="70"/>
      <c r="J131" s="70"/>
    </row>
    <row r="132" spans="4:10" x14ac:dyDescent="0.4">
      <c r="D132" s="70"/>
      <c r="E132" s="70"/>
      <c r="F132" s="70"/>
      <c r="G132" s="69"/>
      <c r="H132" s="69"/>
      <c r="I132" s="70"/>
      <c r="J132" s="70"/>
    </row>
    <row r="133" spans="4:10" x14ac:dyDescent="0.4">
      <c r="D133" s="70"/>
      <c r="E133" s="70"/>
      <c r="F133" s="70"/>
      <c r="G133" s="69"/>
      <c r="H133" s="69"/>
      <c r="I133" s="70"/>
      <c r="J133" s="70"/>
    </row>
    <row r="134" spans="4:10" x14ac:dyDescent="0.4">
      <c r="D134" s="70"/>
      <c r="E134" s="70"/>
      <c r="F134" s="70"/>
      <c r="G134" s="69"/>
      <c r="H134" s="69"/>
      <c r="I134" s="70"/>
      <c r="J134" s="70"/>
    </row>
    <row r="135" spans="4:10" x14ac:dyDescent="0.4">
      <c r="D135" s="70"/>
      <c r="E135" s="70"/>
      <c r="F135" s="70"/>
      <c r="G135" s="69"/>
      <c r="H135" s="69"/>
      <c r="I135" s="70"/>
      <c r="J135" s="70"/>
    </row>
    <row r="136" spans="4:10" x14ac:dyDescent="0.4">
      <c r="D136" s="70"/>
      <c r="E136" s="70"/>
      <c r="F136" s="70"/>
      <c r="G136" s="69"/>
      <c r="H136" s="69"/>
      <c r="I136" s="70"/>
      <c r="J136" s="70"/>
    </row>
    <row r="137" spans="4:10" x14ac:dyDescent="0.4">
      <c r="D137" s="70"/>
      <c r="E137" s="70"/>
      <c r="F137" s="70"/>
      <c r="G137" s="69"/>
      <c r="H137" s="69"/>
      <c r="I137" s="70"/>
      <c r="J137" s="70"/>
    </row>
    <row r="138" spans="4:10" x14ac:dyDescent="0.4">
      <c r="D138" s="70"/>
      <c r="E138" s="70"/>
      <c r="F138" s="70"/>
      <c r="G138" s="69"/>
      <c r="H138" s="69"/>
      <c r="I138" s="70"/>
      <c r="J138" s="70"/>
    </row>
    <row r="139" spans="4:10" x14ac:dyDescent="0.4">
      <c r="D139" s="70"/>
      <c r="E139" s="70"/>
      <c r="F139" s="70"/>
      <c r="G139" s="69"/>
      <c r="H139" s="69"/>
      <c r="I139" s="70"/>
      <c r="J139" s="70"/>
    </row>
    <row r="140" spans="4:10" x14ac:dyDescent="0.4">
      <c r="D140" s="70"/>
      <c r="E140" s="70"/>
      <c r="F140" s="70"/>
      <c r="G140" s="69"/>
      <c r="H140" s="69"/>
      <c r="I140" s="70"/>
      <c r="J140" s="70"/>
    </row>
    <row r="141" spans="4:10" x14ac:dyDescent="0.4">
      <c r="D141" s="70"/>
      <c r="E141" s="70"/>
      <c r="F141" s="70"/>
      <c r="G141" s="69"/>
      <c r="H141" s="69"/>
      <c r="I141" s="70"/>
      <c r="J141" s="70"/>
    </row>
    <row r="142" spans="4:10" x14ac:dyDescent="0.4">
      <c r="D142" s="70"/>
      <c r="E142" s="70"/>
      <c r="F142" s="70"/>
      <c r="G142" s="69"/>
      <c r="H142" s="69"/>
      <c r="I142" s="70"/>
      <c r="J142" s="70"/>
    </row>
    <row r="143" spans="4:10" x14ac:dyDescent="0.4">
      <c r="D143" s="70"/>
      <c r="E143" s="70"/>
      <c r="F143" s="70"/>
      <c r="G143" s="69"/>
      <c r="H143" s="69"/>
      <c r="I143" s="70"/>
      <c r="J143" s="70"/>
    </row>
    <row r="144" spans="4:10" x14ac:dyDescent="0.4">
      <c r="D144" s="70"/>
      <c r="E144" s="70"/>
      <c r="F144" s="70"/>
      <c r="G144" s="69"/>
      <c r="H144" s="69"/>
      <c r="I144" s="70"/>
      <c r="J144" s="70"/>
    </row>
    <row r="145" spans="4:10" x14ac:dyDescent="0.4">
      <c r="D145" s="70"/>
      <c r="E145" s="70"/>
      <c r="F145" s="70"/>
      <c r="G145" s="69"/>
      <c r="H145" s="69"/>
      <c r="I145" s="70"/>
      <c r="J145" s="70"/>
    </row>
    <row r="146" spans="4:10" x14ac:dyDescent="0.4">
      <c r="D146" s="70"/>
      <c r="E146" s="70"/>
      <c r="F146" s="70"/>
      <c r="G146" s="69"/>
      <c r="H146" s="69"/>
      <c r="I146" s="70"/>
      <c r="J146" s="70"/>
    </row>
    <row r="147" spans="4:10" x14ac:dyDescent="0.4">
      <c r="D147" s="70"/>
      <c r="E147" s="70"/>
      <c r="F147" s="70"/>
      <c r="G147" s="69"/>
      <c r="H147" s="69"/>
      <c r="I147" s="70"/>
      <c r="J147" s="70"/>
    </row>
    <row r="148" spans="4:10" x14ac:dyDescent="0.4">
      <c r="D148" s="70"/>
      <c r="E148" s="70"/>
      <c r="F148" s="70"/>
      <c r="G148" s="69"/>
      <c r="H148" s="69"/>
      <c r="I148" s="70"/>
      <c r="J148" s="70"/>
    </row>
    <row r="149" spans="4:10" x14ac:dyDescent="0.4">
      <c r="D149" s="70"/>
      <c r="E149" s="70"/>
      <c r="F149" s="70"/>
      <c r="G149" s="69"/>
      <c r="H149" s="69"/>
      <c r="I149" s="70"/>
      <c r="J149" s="70"/>
    </row>
    <row r="150" spans="4:10" x14ac:dyDescent="0.4">
      <c r="D150" s="70"/>
      <c r="E150" s="70"/>
      <c r="F150" s="70"/>
      <c r="G150" s="69"/>
      <c r="H150" s="69"/>
      <c r="I150" s="70"/>
      <c r="J150" s="70"/>
    </row>
    <row r="151" spans="4:10" x14ac:dyDescent="0.4">
      <c r="D151" s="70"/>
      <c r="E151" s="70"/>
      <c r="F151" s="70"/>
      <c r="G151" s="69"/>
      <c r="H151" s="69"/>
      <c r="I151" s="70"/>
      <c r="J151" s="70"/>
    </row>
    <row r="152" spans="4:10" x14ac:dyDescent="0.4">
      <c r="D152" s="70"/>
      <c r="E152" s="70"/>
      <c r="F152" s="70"/>
      <c r="G152" s="69"/>
      <c r="H152" s="69"/>
      <c r="I152" s="70"/>
      <c r="J152" s="70"/>
    </row>
    <row r="153" spans="4:10" x14ac:dyDescent="0.4">
      <c r="D153" s="70"/>
      <c r="E153" s="70"/>
      <c r="F153" s="70"/>
      <c r="G153" s="69"/>
      <c r="H153" s="69"/>
      <c r="I153" s="70"/>
      <c r="J153" s="70"/>
    </row>
    <row r="154" spans="4:10" x14ac:dyDescent="0.4">
      <c r="D154" s="70"/>
      <c r="E154" s="70"/>
      <c r="F154" s="70"/>
      <c r="G154" s="69"/>
      <c r="H154" s="69"/>
      <c r="I154" s="70"/>
      <c r="J154" s="70"/>
    </row>
    <row r="155" spans="4:10" x14ac:dyDescent="0.4">
      <c r="D155" s="70"/>
      <c r="E155" s="70"/>
      <c r="F155" s="70"/>
      <c r="G155" s="69"/>
      <c r="H155" s="69"/>
      <c r="I155" s="70"/>
      <c r="J155" s="70"/>
    </row>
    <row r="156" spans="4:10" x14ac:dyDescent="0.4">
      <c r="D156" s="70"/>
      <c r="E156" s="70"/>
      <c r="F156" s="70"/>
      <c r="G156" s="69"/>
      <c r="H156" s="69"/>
      <c r="I156" s="70"/>
      <c r="J156" s="70"/>
    </row>
    <row r="157" spans="4:10" x14ac:dyDescent="0.4">
      <c r="D157" s="70"/>
      <c r="E157" s="70"/>
      <c r="F157" s="70"/>
      <c r="G157" s="69"/>
      <c r="H157" s="69"/>
      <c r="I157" s="70"/>
      <c r="J157" s="70"/>
    </row>
    <row r="158" spans="4:10" x14ac:dyDescent="0.4">
      <c r="D158" s="70"/>
      <c r="E158" s="70"/>
      <c r="F158" s="70"/>
      <c r="G158" s="69"/>
      <c r="H158" s="69"/>
      <c r="I158" s="70"/>
      <c r="J158" s="70"/>
    </row>
    <row r="159" spans="4:10" x14ac:dyDescent="0.4">
      <c r="D159" s="70"/>
      <c r="E159" s="70"/>
      <c r="F159" s="70"/>
      <c r="G159" s="69"/>
      <c r="H159" s="69"/>
      <c r="I159" s="70"/>
      <c r="J159" s="70"/>
    </row>
    <row r="160" spans="4:10" x14ac:dyDescent="0.4">
      <c r="D160" s="70"/>
      <c r="E160" s="70"/>
      <c r="F160" s="70"/>
      <c r="G160" s="69"/>
      <c r="H160" s="69"/>
      <c r="I160" s="70"/>
      <c r="J160" s="70"/>
    </row>
    <row r="161" spans="4:10" x14ac:dyDescent="0.4">
      <c r="D161" s="70"/>
      <c r="E161" s="70"/>
      <c r="F161" s="70"/>
      <c r="G161" s="69"/>
      <c r="H161" s="69"/>
      <c r="I161" s="70"/>
      <c r="J161" s="70"/>
    </row>
    <row r="162" spans="4:10" x14ac:dyDescent="0.4">
      <c r="D162" s="70"/>
      <c r="E162" s="70"/>
      <c r="F162" s="70"/>
      <c r="G162" s="69"/>
      <c r="H162" s="69"/>
      <c r="I162" s="70"/>
      <c r="J162" s="70"/>
    </row>
    <row r="163" spans="4:10" x14ac:dyDescent="0.4">
      <c r="D163" s="70"/>
      <c r="E163" s="70"/>
      <c r="F163" s="70"/>
      <c r="G163" s="69"/>
      <c r="H163" s="69"/>
      <c r="I163" s="70"/>
      <c r="J163" s="70"/>
    </row>
    <row r="164" spans="4:10" x14ac:dyDescent="0.4">
      <c r="D164" s="70"/>
      <c r="E164" s="70"/>
      <c r="F164" s="70"/>
      <c r="G164" s="69"/>
      <c r="H164" s="69"/>
      <c r="I164" s="70"/>
      <c r="J164" s="70"/>
    </row>
    <row r="165" spans="4:10" x14ac:dyDescent="0.4">
      <c r="D165" s="70"/>
      <c r="E165" s="70"/>
      <c r="F165" s="70"/>
      <c r="G165" s="69"/>
      <c r="H165" s="69"/>
      <c r="I165" s="70"/>
      <c r="J165" s="70"/>
    </row>
    <row r="166" spans="4:10" x14ac:dyDescent="0.4">
      <c r="D166" s="70"/>
      <c r="E166" s="70"/>
      <c r="F166" s="70"/>
      <c r="G166" s="69"/>
      <c r="H166" s="69"/>
      <c r="I166" s="70"/>
      <c r="J166" s="70"/>
    </row>
    <row r="167" spans="4:10" x14ac:dyDescent="0.4">
      <c r="D167" s="70"/>
      <c r="E167" s="70"/>
      <c r="F167" s="70"/>
      <c r="G167" s="69"/>
      <c r="H167" s="69"/>
      <c r="I167" s="70"/>
      <c r="J167" s="70"/>
    </row>
    <row r="168" spans="4:10" x14ac:dyDescent="0.4">
      <c r="D168" s="70"/>
      <c r="E168" s="70"/>
      <c r="F168" s="70"/>
      <c r="G168" s="69"/>
      <c r="H168" s="69"/>
      <c r="I168" s="70"/>
      <c r="J168" s="70"/>
    </row>
    <row r="169" spans="4:10" x14ac:dyDescent="0.4">
      <c r="D169" s="70"/>
      <c r="E169" s="70"/>
      <c r="F169" s="70"/>
      <c r="G169" s="69"/>
      <c r="H169" s="69"/>
      <c r="I169" s="70"/>
      <c r="J169" s="70"/>
    </row>
    <row r="170" spans="4:10" x14ac:dyDescent="0.4">
      <c r="D170" s="70"/>
      <c r="E170" s="70"/>
      <c r="F170" s="70"/>
      <c r="G170" s="69"/>
      <c r="H170" s="69"/>
      <c r="I170" s="70"/>
      <c r="J170" s="70"/>
    </row>
    <row r="171" spans="4:10" x14ac:dyDescent="0.4">
      <c r="D171" s="70"/>
      <c r="E171" s="70"/>
      <c r="F171" s="70"/>
      <c r="G171" s="69"/>
      <c r="H171" s="69"/>
      <c r="I171" s="70"/>
      <c r="J171" s="70"/>
    </row>
    <row r="172" spans="4:10" x14ac:dyDescent="0.4">
      <c r="D172" s="70"/>
      <c r="E172" s="70"/>
      <c r="F172" s="70"/>
      <c r="G172" s="69"/>
      <c r="H172" s="69"/>
      <c r="I172" s="70"/>
      <c r="J172" s="70"/>
    </row>
    <row r="173" spans="4:10" x14ac:dyDescent="0.4">
      <c r="D173" s="70"/>
      <c r="E173" s="70"/>
      <c r="F173" s="70"/>
      <c r="G173" s="69"/>
      <c r="H173" s="69"/>
      <c r="I173" s="70"/>
      <c r="J173" s="70"/>
    </row>
    <row r="174" spans="4:10" x14ac:dyDescent="0.4">
      <c r="D174" s="70"/>
      <c r="E174" s="70"/>
      <c r="F174" s="70"/>
      <c r="G174" s="69"/>
      <c r="H174" s="69"/>
      <c r="I174" s="70"/>
      <c r="J174" s="70"/>
    </row>
    <row r="175" spans="4:10" x14ac:dyDescent="0.4">
      <c r="D175" s="70"/>
      <c r="E175" s="70"/>
      <c r="F175" s="70"/>
      <c r="G175" s="69"/>
      <c r="H175" s="69"/>
      <c r="I175" s="70"/>
      <c r="J175" s="70"/>
    </row>
    <row r="176" spans="4:10" x14ac:dyDescent="0.4">
      <c r="D176" s="70"/>
      <c r="E176" s="70"/>
      <c r="F176" s="70"/>
      <c r="G176" s="69"/>
      <c r="H176" s="69"/>
      <c r="I176" s="70"/>
      <c r="J176" s="70"/>
    </row>
    <row r="177" spans="4:10" x14ac:dyDescent="0.4">
      <c r="D177" s="70"/>
      <c r="E177" s="70"/>
      <c r="F177" s="70"/>
      <c r="G177" s="69"/>
      <c r="H177" s="69"/>
      <c r="I177" s="70"/>
      <c r="J177" s="70"/>
    </row>
    <row r="178" spans="4:10" x14ac:dyDescent="0.4">
      <c r="D178" s="70"/>
      <c r="E178" s="70"/>
      <c r="F178" s="70"/>
      <c r="G178" s="69"/>
      <c r="H178" s="69"/>
      <c r="I178" s="70"/>
      <c r="J178" s="70"/>
    </row>
    <row r="179" spans="4:10" x14ac:dyDescent="0.4">
      <c r="D179" s="70"/>
      <c r="E179" s="70"/>
      <c r="F179" s="70"/>
      <c r="G179" s="69"/>
      <c r="H179" s="69"/>
      <c r="I179" s="70"/>
      <c r="J179" s="70"/>
    </row>
    <row r="180" spans="4:10" x14ac:dyDescent="0.4">
      <c r="D180" s="70"/>
      <c r="E180" s="70"/>
      <c r="F180" s="70"/>
      <c r="G180" s="69"/>
      <c r="H180" s="69"/>
      <c r="I180" s="70"/>
      <c r="J180" s="70"/>
    </row>
    <row r="181" spans="4:10" x14ac:dyDescent="0.4">
      <c r="D181" s="70"/>
      <c r="E181" s="70"/>
      <c r="F181" s="70"/>
      <c r="G181" s="69"/>
      <c r="H181" s="69"/>
      <c r="I181" s="70"/>
      <c r="J181" s="70"/>
    </row>
    <row r="182" spans="4:10" x14ac:dyDescent="0.4">
      <c r="D182" s="70"/>
      <c r="E182" s="70"/>
      <c r="F182" s="70"/>
      <c r="G182" s="69"/>
      <c r="H182" s="69"/>
      <c r="I182" s="70"/>
      <c r="J182" s="70"/>
    </row>
    <row r="183" spans="4:10" x14ac:dyDescent="0.4">
      <c r="D183" s="70"/>
      <c r="E183" s="70"/>
      <c r="F183" s="70"/>
      <c r="G183" s="69"/>
      <c r="H183" s="69"/>
      <c r="I183" s="70"/>
      <c r="J183" s="70"/>
    </row>
    <row r="184" spans="4:10" x14ac:dyDescent="0.4">
      <c r="D184" s="70"/>
      <c r="E184" s="70"/>
      <c r="F184" s="70"/>
      <c r="G184" s="69"/>
      <c r="H184" s="69"/>
      <c r="I184" s="70"/>
      <c r="J184" s="70"/>
    </row>
    <row r="185" spans="4:10" x14ac:dyDescent="0.4">
      <c r="D185" s="70"/>
      <c r="E185" s="70"/>
      <c r="F185" s="70"/>
      <c r="G185" s="69"/>
      <c r="H185" s="69"/>
      <c r="I185" s="70"/>
      <c r="J185" s="70"/>
    </row>
    <row r="186" spans="4:10" x14ac:dyDescent="0.4">
      <c r="D186" s="70"/>
      <c r="E186" s="70"/>
      <c r="F186" s="70"/>
      <c r="G186" s="69"/>
      <c r="H186" s="69"/>
      <c r="I186" s="70"/>
      <c r="J186" s="70"/>
    </row>
    <row r="187" spans="4:10" x14ac:dyDescent="0.4">
      <c r="D187" s="70"/>
      <c r="E187" s="70"/>
      <c r="F187" s="70"/>
      <c r="G187" s="69"/>
      <c r="H187" s="69"/>
      <c r="I187" s="70"/>
      <c r="J187" s="70"/>
    </row>
  </sheetData>
  <mergeCells count="1">
    <mergeCell ref="D5:H5"/>
  </mergeCells>
  <phoneticPr fontId="0" type="noConversion"/>
  <pageMargins left="0.7" right="0.7" top="0.75" bottom="0.75" header="0.3" footer="0.3"/>
  <pageSetup scale="8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3"/>
  <sheetViews>
    <sheetView topLeftCell="A4" workbookViewId="0">
      <selection activeCell="A4" sqref="A4"/>
    </sheetView>
  </sheetViews>
  <sheetFormatPr defaultRowHeight="15" x14ac:dyDescent="0.4"/>
  <cols>
    <col min="1" max="1" width="38.5703125" customWidth="1"/>
    <col min="2" max="2" width="32.140625" customWidth="1"/>
    <col min="3" max="3" width="7.28515625" customWidth="1"/>
    <col min="4" max="4" width="16.7109375" customWidth="1"/>
    <col min="5" max="5" width="14.5703125" customWidth="1"/>
    <col min="6" max="6" width="12.85546875" customWidth="1"/>
    <col min="7" max="7" width="11.42578125" style="4" customWidth="1"/>
    <col min="8" max="8" width="12.7109375" style="4" customWidth="1"/>
  </cols>
  <sheetData>
    <row r="1" spans="1:10" hidden="1" x14ac:dyDescent="0.4">
      <c r="B1" s="27"/>
      <c r="C1" s="27"/>
      <c r="D1" s="27"/>
      <c r="E1" s="4"/>
    </row>
    <row r="2" spans="1:10" hidden="1" x14ac:dyDescent="0.4">
      <c r="A2" s="27"/>
      <c r="B2" s="27"/>
      <c r="C2" s="27"/>
      <c r="D2" s="27"/>
      <c r="E2" s="4"/>
    </row>
    <row r="3" spans="1:10" hidden="1" x14ac:dyDescent="0.4">
      <c r="A3" s="29"/>
      <c r="B3" s="29"/>
      <c r="C3" s="29"/>
      <c r="D3" s="29"/>
      <c r="E3" s="4"/>
      <c r="F3" s="5"/>
    </row>
    <row r="4" spans="1:10" x14ac:dyDescent="0.4">
      <c r="A4" s="29"/>
      <c r="B4" s="29"/>
      <c r="C4" s="29"/>
      <c r="D4" s="29"/>
      <c r="E4" s="4"/>
    </row>
    <row r="5" spans="1:10" x14ac:dyDescent="0.4">
      <c r="A5" s="3" t="s">
        <v>763</v>
      </c>
      <c r="B5" s="27"/>
      <c r="C5" s="27"/>
      <c r="D5" s="186" t="s">
        <v>774</v>
      </c>
      <c r="E5" s="186"/>
      <c r="F5" s="186"/>
      <c r="G5" s="186"/>
      <c r="H5" s="186"/>
    </row>
    <row r="6" spans="1:10" x14ac:dyDescent="0.4">
      <c r="A6" s="3"/>
      <c r="B6" s="27"/>
      <c r="C6" s="27"/>
      <c r="D6" s="29"/>
      <c r="E6" s="29"/>
      <c r="F6" s="29"/>
      <c r="G6" s="29"/>
      <c r="H6" s="29"/>
    </row>
    <row r="7" spans="1:10" x14ac:dyDescent="0.4">
      <c r="A7" s="30"/>
      <c r="B7" s="27"/>
      <c r="C7" s="27"/>
      <c r="D7" s="6" t="s">
        <v>1400</v>
      </c>
      <c r="E7" s="6" t="s">
        <v>1401</v>
      </c>
      <c r="F7" s="6" t="s">
        <v>1402</v>
      </c>
      <c r="G7" s="6" t="s">
        <v>1403</v>
      </c>
      <c r="H7" s="6" t="s">
        <v>1382</v>
      </c>
    </row>
    <row r="8" spans="1:10" x14ac:dyDescent="0.4">
      <c r="A8" s="27" t="s">
        <v>728</v>
      </c>
      <c r="B8" s="27" t="s">
        <v>765</v>
      </c>
      <c r="C8" s="27" t="s">
        <v>771</v>
      </c>
      <c r="D8" s="68">
        <v>27040</v>
      </c>
      <c r="E8" s="68">
        <v>5544</v>
      </c>
      <c r="F8" s="69">
        <v>2974</v>
      </c>
      <c r="G8" s="69">
        <v>2069</v>
      </c>
      <c r="H8" s="69">
        <f>SUM(D8:G8)</f>
        <v>37627</v>
      </c>
      <c r="I8" s="70"/>
      <c r="J8" s="70"/>
    </row>
    <row r="9" spans="1:10" x14ac:dyDescent="0.4">
      <c r="A9" s="27"/>
      <c r="B9" s="27"/>
      <c r="C9" s="27" t="s">
        <v>769</v>
      </c>
      <c r="D9" s="68">
        <v>23400</v>
      </c>
      <c r="E9" s="68">
        <v>5544</v>
      </c>
      <c r="F9" s="69">
        <v>2574</v>
      </c>
      <c r="G9" s="69">
        <v>1790</v>
      </c>
      <c r="H9" s="69">
        <f>SUM(D9:G9)</f>
        <v>33308</v>
      </c>
      <c r="I9" s="70"/>
      <c r="J9" s="70"/>
    </row>
    <row r="10" spans="1:10" x14ac:dyDescent="0.4">
      <c r="A10" s="27"/>
      <c r="B10" s="27"/>
      <c r="C10" s="27"/>
      <c r="D10" s="71">
        <f>+D8-D9</f>
        <v>3640</v>
      </c>
      <c r="E10" s="71">
        <f>+E8-E9</f>
        <v>0</v>
      </c>
      <c r="F10" s="71">
        <f>+F8-F9</f>
        <v>400</v>
      </c>
      <c r="G10" s="71">
        <f>+G8-G9</f>
        <v>279</v>
      </c>
      <c r="H10" s="71">
        <f>+H8-H9</f>
        <v>4319</v>
      </c>
      <c r="I10" s="70"/>
      <c r="J10" s="70"/>
    </row>
    <row r="11" spans="1:10" x14ac:dyDescent="0.4">
      <c r="A11" s="27"/>
      <c r="B11" s="27"/>
      <c r="C11" s="27"/>
      <c r="D11" s="71"/>
      <c r="E11" s="71"/>
      <c r="F11" s="71"/>
      <c r="G11" s="71"/>
      <c r="H11" s="71"/>
      <c r="I11" s="70"/>
      <c r="J11" s="70"/>
    </row>
    <row r="12" spans="1:10" x14ac:dyDescent="0.4">
      <c r="A12" s="27" t="s">
        <v>760</v>
      </c>
      <c r="B12" s="27" t="s">
        <v>761</v>
      </c>
      <c r="C12" s="27" t="s">
        <v>771</v>
      </c>
      <c r="D12" s="68">
        <v>35179</v>
      </c>
      <c r="E12" s="68">
        <v>5544</v>
      </c>
      <c r="F12" s="69">
        <v>3870</v>
      </c>
      <c r="G12" s="69">
        <v>2691</v>
      </c>
      <c r="H12" s="69">
        <f>SUM(D12:G12)</f>
        <v>47284</v>
      </c>
      <c r="I12" s="70"/>
      <c r="J12" s="70"/>
    </row>
    <row r="13" spans="1:10" x14ac:dyDescent="0.4">
      <c r="A13" s="27"/>
      <c r="B13" s="27"/>
      <c r="C13" s="27" t="s">
        <v>769</v>
      </c>
      <c r="D13" s="68">
        <v>31517</v>
      </c>
      <c r="E13" s="68">
        <v>5544</v>
      </c>
      <c r="F13" s="69">
        <v>3467</v>
      </c>
      <c r="G13" s="69">
        <v>2411</v>
      </c>
      <c r="H13" s="69">
        <f>SUM(D13:G13)</f>
        <v>42939</v>
      </c>
      <c r="I13" s="70"/>
      <c r="J13" s="70"/>
    </row>
    <row r="14" spans="1:10" x14ac:dyDescent="0.4">
      <c r="A14" s="27"/>
      <c r="B14" s="27"/>
      <c r="C14" s="27"/>
      <c r="D14" s="71">
        <f>+D12-D13</f>
        <v>3662</v>
      </c>
      <c r="E14" s="71">
        <f>+E12-E13</f>
        <v>0</v>
      </c>
      <c r="F14" s="71">
        <f>+F12-F13</f>
        <v>403</v>
      </c>
      <c r="G14" s="71">
        <f>+G12-G13</f>
        <v>280</v>
      </c>
      <c r="H14" s="71">
        <f>+H12-H13</f>
        <v>4345</v>
      </c>
      <c r="I14" s="70"/>
      <c r="J14" s="70"/>
    </row>
    <row r="15" spans="1:10" x14ac:dyDescent="0.4">
      <c r="A15" s="27"/>
      <c r="B15" s="27"/>
      <c r="C15" s="27"/>
      <c r="D15" s="68"/>
      <c r="E15" s="68"/>
      <c r="F15" s="69"/>
      <c r="G15" s="69"/>
      <c r="H15" s="69"/>
      <c r="I15" s="70"/>
      <c r="J15" s="70"/>
    </row>
    <row r="16" spans="1:10" x14ac:dyDescent="0.4">
      <c r="A16" s="27" t="s">
        <v>775</v>
      </c>
      <c r="B16" s="27" t="s">
        <v>1404</v>
      </c>
      <c r="C16" s="27" t="s">
        <v>771</v>
      </c>
      <c r="D16" s="68">
        <v>44202</v>
      </c>
      <c r="E16" s="68">
        <v>12581</v>
      </c>
      <c r="F16" s="69">
        <v>4862</v>
      </c>
      <c r="G16" s="69">
        <v>3381</v>
      </c>
      <c r="H16" s="69">
        <f>SUM(D16:G16)</f>
        <v>65026</v>
      </c>
      <c r="I16" s="70"/>
      <c r="J16" s="70"/>
    </row>
    <row r="17" spans="1:10" x14ac:dyDescent="0.4">
      <c r="A17" s="27"/>
      <c r="B17" s="27"/>
      <c r="C17" s="27" t="s">
        <v>769</v>
      </c>
      <c r="D17" s="68">
        <v>57000</v>
      </c>
      <c r="E17" s="68">
        <v>12581</v>
      </c>
      <c r="F17" s="69">
        <v>6270</v>
      </c>
      <c r="G17" s="69">
        <v>4361</v>
      </c>
      <c r="H17" s="69">
        <f>SUM(D17:G17)</f>
        <v>80212</v>
      </c>
      <c r="I17" s="70"/>
      <c r="J17" s="70"/>
    </row>
    <row r="18" spans="1:10" x14ac:dyDescent="0.4">
      <c r="A18" s="27"/>
      <c r="B18" s="27"/>
      <c r="C18" s="27"/>
      <c r="D18" s="71">
        <f>+D16-D17</f>
        <v>-12798</v>
      </c>
      <c r="E18" s="71">
        <f>+E16-E17</f>
        <v>0</v>
      </c>
      <c r="F18" s="71">
        <f>+F16-F17</f>
        <v>-1408</v>
      </c>
      <c r="G18" s="71">
        <f>+G16-G17</f>
        <v>-980</v>
      </c>
      <c r="H18" s="71">
        <f>+H16-H17</f>
        <v>-15186</v>
      </c>
      <c r="I18" s="70"/>
      <c r="J18" s="70"/>
    </row>
    <row r="19" spans="1:10" x14ac:dyDescent="0.4">
      <c r="A19" s="27"/>
      <c r="B19" s="27"/>
      <c r="C19" s="27"/>
      <c r="D19" s="71"/>
      <c r="E19" s="71"/>
      <c r="F19" s="71"/>
      <c r="G19" s="71"/>
      <c r="H19" s="71"/>
      <c r="I19" s="70"/>
      <c r="J19" s="70"/>
    </row>
    <row r="20" spans="1:10" x14ac:dyDescent="0.4">
      <c r="A20" s="27" t="s">
        <v>767</v>
      </c>
      <c r="B20" s="27" t="s">
        <v>776</v>
      </c>
      <c r="C20" s="27" t="s">
        <v>771</v>
      </c>
      <c r="D20" s="68">
        <v>43799</v>
      </c>
      <c r="E20" s="68">
        <v>0</v>
      </c>
      <c r="F20" s="69">
        <v>4818</v>
      </c>
      <c r="G20" s="69">
        <v>3351</v>
      </c>
      <c r="H20" s="69">
        <f>SUM(D20:G20)</f>
        <v>51968</v>
      </c>
      <c r="I20" s="70"/>
      <c r="J20" s="70"/>
    </row>
    <row r="21" spans="1:10" x14ac:dyDescent="0.4">
      <c r="A21" s="27"/>
      <c r="B21" s="27"/>
      <c r="C21" s="27" t="s">
        <v>769</v>
      </c>
      <c r="D21" s="68">
        <v>0</v>
      </c>
      <c r="E21" s="68">
        <v>0</v>
      </c>
      <c r="F21" s="69">
        <v>0</v>
      </c>
      <c r="G21" s="69">
        <v>0</v>
      </c>
      <c r="H21" s="69">
        <f>SUM(D21:G21)</f>
        <v>0</v>
      </c>
      <c r="I21" s="70"/>
      <c r="J21" s="70"/>
    </row>
    <row r="22" spans="1:10" x14ac:dyDescent="0.4">
      <c r="A22" s="27"/>
      <c r="B22" s="27"/>
      <c r="C22" s="27"/>
      <c r="D22" s="71">
        <f>+D20-D21</f>
        <v>43799</v>
      </c>
      <c r="E22" s="71">
        <f>+E20-E21</f>
        <v>0</v>
      </c>
      <c r="F22" s="71">
        <f>+F20-F21</f>
        <v>4818</v>
      </c>
      <c r="G22" s="71">
        <f>+G20-G21</f>
        <v>3351</v>
      </c>
      <c r="H22" s="71">
        <f>+H20-H21</f>
        <v>51968</v>
      </c>
      <c r="I22" s="70"/>
      <c r="J22" s="70"/>
    </row>
    <row r="23" spans="1:10" x14ac:dyDescent="0.4">
      <c r="A23" s="27"/>
      <c r="B23" s="27"/>
      <c r="C23" s="27"/>
      <c r="D23" s="68"/>
      <c r="E23" s="68"/>
      <c r="F23" s="69"/>
      <c r="G23" s="69"/>
      <c r="H23" s="69"/>
      <c r="I23" s="70"/>
      <c r="J23" s="70"/>
    </row>
    <row r="24" spans="1:10" x14ac:dyDescent="0.4">
      <c r="A24" s="27" t="s">
        <v>767</v>
      </c>
      <c r="B24" s="27" t="s">
        <v>1405</v>
      </c>
      <c r="C24" s="27" t="s">
        <v>771</v>
      </c>
      <c r="D24" s="68">
        <v>46648</v>
      </c>
      <c r="E24" s="68">
        <v>0</v>
      </c>
      <c r="F24" s="69">
        <v>5131</v>
      </c>
      <c r="G24" s="69">
        <v>3569</v>
      </c>
      <c r="H24" s="69">
        <f>SUM(D24:G24)</f>
        <v>55348</v>
      </c>
      <c r="I24" s="70"/>
      <c r="J24" s="70"/>
    </row>
    <row r="25" spans="1:10" x14ac:dyDescent="0.4">
      <c r="A25" s="27"/>
      <c r="B25" s="27"/>
      <c r="C25" s="27" t="s">
        <v>769</v>
      </c>
      <c r="D25" s="68">
        <v>0</v>
      </c>
      <c r="E25" s="68">
        <v>0</v>
      </c>
      <c r="F25" s="69">
        <v>0</v>
      </c>
      <c r="G25" s="69">
        <v>0</v>
      </c>
      <c r="H25" s="69">
        <f>SUM(D25:G25)</f>
        <v>0</v>
      </c>
      <c r="I25" s="70"/>
      <c r="J25" s="70"/>
    </row>
    <row r="26" spans="1:10" x14ac:dyDescent="0.4">
      <c r="A26" s="27"/>
      <c r="B26" s="27"/>
      <c r="C26" s="27"/>
      <c r="D26" s="71">
        <f>+D24-D25</f>
        <v>46648</v>
      </c>
      <c r="E26" s="71">
        <f>+E24-E25</f>
        <v>0</v>
      </c>
      <c r="F26" s="71">
        <f>+F24-F25</f>
        <v>5131</v>
      </c>
      <c r="G26" s="71">
        <f>+G24-G25</f>
        <v>3569</v>
      </c>
      <c r="H26" s="71">
        <f>+H24-H25</f>
        <v>55348</v>
      </c>
      <c r="I26" s="70"/>
      <c r="J26" s="70"/>
    </row>
    <row r="27" spans="1:10" x14ac:dyDescent="0.4">
      <c r="A27" s="27"/>
      <c r="B27" s="27"/>
      <c r="C27" s="27"/>
      <c r="D27" s="68"/>
      <c r="E27" s="68"/>
      <c r="F27" s="69"/>
      <c r="G27" s="69"/>
      <c r="H27" s="69"/>
      <c r="I27" s="70"/>
      <c r="J27" s="70"/>
    </row>
    <row r="28" spans="1:10" x14ac:dyDescent="0.4">
      <c r="A28" s="27" t="s">
        <v>762</v>
      </c>
      <c r="B28" s="27" t="s">
        <v>1406</v>
      </c>
      <c r="C28" s="27" t="s">
        <v>771</v>
      </c>
      <c r="D28" s="68">
        <v>93829</v>
      </c>
      <c r="E28" s="68">
        <v>13715</v>
      </c>
      <c r="F28" s="69">
        <v>10321</v>
      </c>
      <c r="G28" s="69">
        <v>7178</v>
      </c>
      <c r="H28" s="69">
        <f>SUM(D28:G28)</f>
        <v>125043</v>
      </c>
      <c r="I28" s="70"/>
      <c r="J28" s="70"/>
    </row>
    <row r="29" spans="1:10" x14ac:dyDescent="0.4">
      <c r="A29" s="27"/>
      <c r="B29" s="27"/>
      <c r="C29" s="27" t="s">
        <v>769</v>
      </c>
      <c r="D29" s="68">
        <v>98990</v>
      </c>
      <c r="E29" s="68">
        <v>13715</v>
      </c>
      <c r="F29" s="69">
        <v>10889</v>
      </c>
      <c r="G29" s="69">
        <v>7573</v>
      </c>
      <c r="H29" s="69">
        <f>SUM(D29:G29)</f>
        <v>131167</v>
      </c>
      <c r="I29" s="70"/>
      <c r="J29" s="70"/>
    </row>
    <row r="30" spans="1:10" x14ac:dyDescent="0.4">
      <c r="A30" s="27"/>
      <c r="B30" s="27"/>
      <c r="C30" s="27"/>
      <c r="D30" s="71">
        <f>+D28-D29</f>
        <v>-5161</v>
      </c>
      <c r="E30" s="71">
        <f>+E28-E29</f>
        <v>0</v>
      </c>
      <c r="F30" s="71">
        <f>+F28-F29</f>
        <v>-568</v>
      </c>
      <c r="G30" s="71">
        <f>+G28-G29</f>
        <v>-395</v>
      </c>
      <c r="H30" s="71">
        <f>+H28-H29</f>
        <v>-6124</v>
      </c>
      <c r="I30" s="70"/>
      <c r="J30" s="70"/>
    </row>
    <row r="31" spans="1:10" x14ac:dyDescent="0.4">
      <c r="A31" s="27"/>
      <c r="B31" s="27"/>
      <c r="C31" s="27"/>
      <c r="D31" s="68"/>
      <c r="E31" s="68"/>
      <c r="F31" s="69"/>
      <c r="G31" s="69"/>
      <c r="H31" s="69"/>
      <c r="I31" s="70"/>
      <c r="J31" s="70"/>
    </row>
    <row r="32" spans="1:10" x14ac:dyDescent="0.4">
      <c r="A32" s="27" t="s">
        <v>1407</v>
      </c>
      <c r="B32" s="27" t="s">
        <v>766</v>
      </c>
      <c r="C32" s="27" t="s">
        <v>771</v>
      </c>
      <c r="D32" s="68">
        <v>82072</v>
      </c>
      <c r="E32" s="68">
        <v>13955</v>
      </c>
      <c r="F32" s="69">
        <v>9353</v>
      </c>
      <c r="G32" s="69"/>
      <c r="H32" s="69">
        <f>SUM(D32:G32)</f>
        <v>105380</v>
      </c>
      <c r="I32" s="70"/>
      <c r="J32" s="70"/>
    </row>
    <row r="33" spans="1:10" x14ac:dyDescent="0.4">
      <c r="A33" s="27"/>
      <c r="B33" s="27"/>
      <c r="C33" s="27" t="s">
        <v>769</v>
      </c>
      <c r="D33" s="68">
        <v>76372</v>
      </c>
      <c r="E33" s="68">
        <v>13955</v>
      </c>
      <c r="F33" s="69">
        <v>9353</v>
      </c>
      <c r="G33" s="69"/>
      <c r="H33" s="69">
        <f>SUM(D33:G33)</f>
        <v>99680</v>
      </c>
      <c r="I33" s="70"/>
      <c r="J33" s="70"/>
    </row>
    <row r="34" spans="1:10" x14ac:dyDescent="0.4">
      <c r="A34" s="27"/>
      <c r="B34" s="27"/>
      <c r="C34" s="27"/>
      <c r="D34" s="71">
        <f>+D32-D33</f>
        <v>5700</v>
      </c>
      <c r="E34" s="71">
        <f>+E32-E33</f>
        <v>0</v>
      </c>
      <c r="F34" s="71">
        <f>+F32-F33</f>
        <v>0</v>
      </c>
      <c r="G34" s="71">
        <f>+G32-G33</f>
        <v>0</v>
      </c>
      <c r="H34" s="71">
        <f>+H32-H33</f>
        <v>5700</v>
      </c>
      <c r="I34" s="70"/>
      <c r="J34" s="70"/>
    </row>
    <row r="35" spans="1:10" x14ac:dyDescent="0.4">
      <c r="A35" s="27"/>
      <c r="B35" s="27"/>
      <c r="C35" s="27"/>
      <c r="D35" s="71"/>
      <c r="E35" s="71"/>
      <c r="F35" s="71"/>
      <c r="G35" s="71"/>
      <c r="H35" s="71"/>
      <c r="I35" s="70"/>
      <c r="J35" s="70"/>
    </row>
    <row r="36" spans="1:10" x14ac:dyDescent="0.4">
      <c r="A36" s="27" t="s">
        <v>764</v>
      </c>
      <c r="B36" s="27" t="s">
        <v>1409</v>
      </c>
      <c r="C36" s="27" t="s">
        <v>771</v>
      </c>
      <c r="D36" s="68">
        <v>31580</v>
      </c>
      <c r="E36" s="68">
        <v>5544</v>
      </c>
      <c r="F36" s="69">
        <v>3474</v>
      </c>
      <c r="G36" s="69">
        <v>2416</v>
      </c>
      <c r="H36" s="69">
        <f>SUM(D36:G36)</f>
        <v>43014</v>
      </c>
      <c r="I36" s="70"/>
      <c r="J36" s="70"/>
    </row>
    <row r="37" spans="1:10" x14ac:dyDescent="0.4">
      <c r="A37" s="27"/>
      <c r="B37" s="27"/>
      <c r="C37" s="27" t="s">
        <v>769</v>
      </c>
      <c r="D37" s="68">
        <v>26520</v>
      </c>
      <c r="E37" s="68">
        <v>5544</v>
      </c>
      <c r="F37" s="69">
        <v>2917</v>
      </c>
      <c r="G37" s="69">
        <v>2029</v>
      </c>
      <c r="H37" s="69">
        <f>SUM(D37:G37)</f>
        <v>37010</v>
      </c>
      <c r="I37" s="70"/>
      <c r="J37" s="70"/>
    </row>
    <row r="38" spans="1:10" x14ac:dyDescent="0.4">
      <c r="A38" s="27"/>
      <c r="B38" s="27"/>
      <c r="C38" s="27"/>
      <c r="D38" s="71">
        <f>+D36-D37</f>
        <v>5060</v>
      </c>
      <c r="E38" s="71">
        <f>+E36-E37</f>
        <v>0</v>
      </c>
      <c r="F38" s="71">
        <f>+F36-F37</f>
        <v>557</v>
      </c>
      <c r="G38" s="71">
        <f>+G36-G37</f>
        <v>387</v>
      </c>
      <c r="H38" s="71">
        <f>+H36-H37</f>
        <v>6004</v>
      </c>
      <c r="I38" s="70"/>
      <c r="J38" s="70"/>
    </row>
    <row r="39" spans="1:10" x14ac:dyDescent="0.4">
      <c r="A39" s="27"/>
      <c r="B39" s="27"/>
      <c r="C39" s="27"/>
      <c r="D39" s="68"/>
      <c r="E39" s="68"/>
      <c r="F39" s="69"/>
      <c r="G39" s="69"/>
      <c r="H39" s="69"/>
      <c r="I39" s="70"/>
      <c r="J39" s="70"/>
    </row>
    <row r="40" spans="1:10" x14ac:dyDescent="0.4">
      <c r="A40" s="27" t="s">
        <v>729</v>
      </c>
      <c r="B40" s="27" t="s">
        <v>1409</v>
      </c>
      <c r="C40" s="27" t="s">
        <v>771</v>
      </c>
      <c r="D40" s="68">
        <v>25958</v>
      </c>
      <c r="E40" s="68">
        <v>13715</v>
      </c>
      <c r="F40" s="69">
        <v>2855</v>
      </c>
      <c r="G40" s="69">
        <v>1986</v>
      </c>
      <c r="H40" s="69">
        <f>SUM(D40:G40)</f>
        <v>44514</v>
      </c>
      <c r="I40" s="70"/>
      <c r="J40" s="70"/>
    </row>
    <row r="41" spans="1:10" x14ac:dyDescent="0.4">
      <c r="A41" s="27"/>
      <c r="B41" s="27"/>
      <c r="C41" s="27" t="s">
        <v>769</v>
      </c>
      <c r="D41" s="68">
        <v>26754</v>
      </c>
      <c r="E41" s="68">
        <v>13715</v>
      </c>
      <c r="F41" s="69">
        <v>2943</v>
      </c>
      <c r="G41" s="69">
        <v>2047</v>
      </c>
      <c r="H41" s="69">
        <f>SUM(D41:G41)</f>
        <v>45459</v>
      </c>
      <c r="I41" s="70"/>
      <c r="J41" s="70"/>
    </row>
    <row r="42" spans="1:10" x14ac:dyDescent="0.4">
      <c r="A42" s="27"/>
      <c r="B42" s="27"/>
      <c r="C42" s="27"/>
      <c r="D42" s="71">
        <f>+D40-D41</f>
        <v>-796</v>
      </c>
      <c r="E42" s="71">
        <f>+E40-E41</f>
        <v>0</v>
      </c>
      <c r="F42" s="71">
        <f>+F40-F41</f>
        <v>-88</v>
      </c>
      <c r="G42" s="71">
        <f>+G40-G41</f>
        <v>-61</v>
      </c>
      <c r="H42" s="71">
        <f>+H40-H41</f>
        <v>-945</v>
      </c>
      <c r="I42" s="70"/>
      <c r="J42" s="70"/>
    </row>
    <row r="43" spans="1:10" x14ac:dyDescent="0.4">
      <c r="A43" s="27"/>
      <c r="B43" s="27"/>
      <c r="C43" s="27"/>
      <c r="D43" s="68"/>
      <c r="E43" s="68"/>
      <c r="F43" s="69"/>
      <c r="G43" s="69"/>
      <c r="H43" s="69"/>
      <c r="I43" s="70"/>
      <c r="J43" s="70"/>
    </row>
    <row r="44" spans="1:10" x14ac:dyDescent="0.4">
      <c r="A44" s="27" t="s">
        <v>1410</v>
      </c>
      <c r="B44" s="27" t="s">
        <v>1389</v>
      </c>
      <c r="C44" s="27" t="s">
        <v>771</v>
      </c>
      <c r="D44" s="68">
        <v>98990</v>
      </c>
      <c r="E44" s="68">
        <v>13955</v>
      </c>
      <c r="F44" s="69">
        <v>9734</v>
      </c>
      <c r="G44" s="69"/>
      <c r="H44" s="69">
        <f>SUM(D44:G44)</f>
        <v>122679</v>
      </c>
      <c r="I44" s="70"/>
      <c r="J44" s="70"/>
    </row>
    <row r="45" spans="1:10" x14ac:dyDescent="0.4">
      <c r="C45" s="27" t="s">
        <v>769</v>
      </c>
      <c r="D45" s="68">
        <v>76978</v>
      </c>
      <c r="E45" s="68">
        <v>13955</v>
      </c>
      <c r="F45" s="69">
        <v>9734</v>
      </c>
      <c r="G45" s="69"/>
      <c r="H45" s="69">
        <f>SUM(D45:G45)</f>
        <v>100667</v>
      </c>
      <c r="I45" s="70"/>
      <c r="J45" s="70"/>
    </row>
    <row r="46" spans="1:10" x14ac:dyDescent="0.4">
      <c r="C46" s="27"/>
      <c r="D46" s="71">
        <f>+D44-D45</f>
        <v>22012</v>
      </c>
      <c r="E46" s="71">
        <f>+E44-E45</f>
        <v>0</v>
      </c>
      <c r="F46" s="71">
        <f>+F44-F45</f>
        <v>0</v>
      </c>
      <c r="G46" s="71">
        <f>+G44-G45</f>
        <v>0</v>
      </c>
      <c r="H46" s="71">
        <f>+H44-H45</f>
        <v>22012</v>
      </c>
      <c r="I46" s="70"/>
      <c r="J46" s="70"/>
    </row>
    <row r="47" spans="1:10" x14ac:dyDescent="0.4">
      <c r="C47" s="27"/>
      <c r="D47" s="71"/>
      <c r="E47" s="71"/>
      <c r="F47" s="71"/>
      <c r="G47" s="71"/>
      <c r="H47" s="71"/>
      <c r="I47" s="70"/>
      <c r="J47" s="70"/>
    </row>
    <row r="48" spans="1:10" x14ac:dyDescent="0.4">
      <c r="A48" s="27" t="s">
        <v>770</v>
      </c>
      <c r="B48" s="27" t="s">
        <v>1389</v>
      </c>
      <c r="C48" s="27" t="s">
        <v>771</v>
      </c>
      <c r="D48" s="68">
        <v>0</v>
      </c>
      <c r="E48" s="68">
        <v>0</v>
      </c>
      <c r="F48" s="69">
        <v>0</v>
      </c>
      <c r="G48" s="69"/>
      <c r="H48" s="69">
        <f>SUM(D48:G48)</f>
        <v>0</v>
      </c>
      <c r="I48" s="70"/>
      <c r="J48" s="70"/>
    </row>
    <row r="49" spans="1:10" x14ac:dyDescent="0.4">
      <c r="C49" s="27" t="s">
        <v>769</v>
      </c>
      <c r="D49" s="68">
        <v>77648</v>
      </c>
      <c r="E49" s="68">
        <v>13955</v>
      </c>
      <c r="F49" s="69">
        <v>9734</v>
      </c>
      <c r="G49" s="69"/>
      <c r="H49" s="69">
        <f>SUM(D49:G49)</f>
        <v>101337</v>
      </c>
      <c r="I49" s="70"/>
      <c r="J49" s="70"/>
    </row>
    <row r="50" spans="1:10" x14ac:dyDescent="0.4">
      <c r="C50" s="27"/>
      <c r="D50" s="71">
        <f>+D48-D49</f>
        <v>-77648</v>
      </c>
      <c r="E50" s="71">
        <f>+E48-E49</f>
        <v>-13955</v>
      </c>
      <c r="F50" s="71">
        <f>+F48-F49</f>
        <v>-9734</v>
      </c>
      <c r="G50" s="71">
        <f>+G48-G49</f>
        <v>0</v>
      </c>
      <c r="H50" s="71">
        <f>+H48-H49</f>
        <v>-101337</v>
      </c>
      <c r="I50" s="70"/>
      <c r="J50" s="70"/>
    </row>
    <row r="51" spans="1:10" x14ac:dyDescent="0.4">
      <c r="C51" s="27"/>
      <c r="D51" s="71"/>
      <c r="E51" s="71"/>
      <c r="F51" s="71"/>
      <c r="G51" s="71"/>
      <c r="H51" s="71"/>
      <c r="I51" s="70"/>
      <c r="J51" s="70"/>
    </row>
    <row r="52" spans="1:10" x14ac:dyDescent="0.4">
      <c r="A52" s="3" t="s">
        <v>768</v>
      </c>
      <c r="C52" s="27" t="s">
        <v>771</v>
      </c>
      <c r="D52" s="68">
        <f>+D8+D12+D16+D20+D24+D28+D32+D36+D40+D44+D48</f>
        <v>529297</v>
      </c>
      <c r="E52" s="68">
        <f t="shared" ref="E52:G53" si="0">+E8+E12+E16+E20+E24+E28+E32+E36+E40+E44+E48</f>
        <v>84553</v>
      </c>
      <c r="F52" s="68">
        <f t="shared" si="0"/>
        <v>57392</v>
      </c>
      <c r="G52" s="68">
        <f t="shared" si="0"/>
        <v>26641</v>
      </c>
      <c r="H52" s="69">
        <f>SUM(D52:G52)</f>
        <v>697883</v>
      </c>
      <c r="I52" s="70"/>
      <c r="J52" s="70"/>
    </row>
    <row r="53" spans="1:10" x14ac:dyDescent="0.4">
      <c r="C53" s="27" t="s">
        <v>769</v>
      </c>
      <c r="D53" s="68">
        <f>+D9+D13+D17+D21+D25+D29+D33+D37+D41+D45+D49</f>
        <v>495179</v>
      </c>
      <c r="E53" s="68">
        <f t="shared" si="0"/>
        <v>98508</v>
      </c>
      <c r="F53" s="68">
        <f t="shared" si="0"/>
        <v>57881</v>
      </c>
      <c r="G53" s="68">
        <f t="shared" si="0"/>
        <v>20211</v>
      </c>
      <c r="H53" s="69">
        <f>SUM(D53:G53)</f>
        <v>671779</v>
      </c>
      <c r="I53" s="70"/>
      <c r="J53" s="70"/>
    </row>
    <row r="54" spans="1:10" x14ac:dyDescent="0.4">
      <c r="C54" s="27"/>
      <c r="D54" s="71">
        <f>+D52-D53</f>
        <v>34118</v>
      </c>
      <c r="E54" s="71">
        <f>+E52-E53</f>
        <v>-13955</v>
      </c>
      <c r="F54" s="71">
        <f>+F52-F53</f>
        <v>-489</v>
      </c>
      <c r="G54" s="71">
        <f>+G52-G53</f>
        <v>6430</v>
      </c>
      <c r="H54" s="71">
        <f>+H52-H53</f>
        <v>26104</v>
      </c>
      <c r="I54" s="70"/>
      <c r="J54" s="70"/>
    </row>
    <row r="55" spans="1:10" ht="14.25" x14ac:dyDescent="0.45">
      <c r="A55" s="72"/>
      <c r="B55" s="72"/>
      <c r="C55" s="72"/>
      <c r="D55" s="73"/>
      <c r="E55" s="73"/>
      <c r="F55" s="73"/>
      <c r="G55" s="73"/>
      <c r="H55" s="73"/>
      <c r="I55" s="70"/>
      <c r="J55" s="70"/>
    </row>
    <row r="56" spans="1:10" x14ac:dyDescent="0.4">
      <c r="A56" s="3" t="s">
        <v>773</v>
      </c>
      <c r="C56" s="27" t="s">
        <v>771</v>
      </c>
      <c r="D56" s="68">
        <v>1648677</v>
      </c>
      <c r="E56" s="68">
        <v>299298</v>
      </c>
      <c r="F56" s="69">
        <v>183452</v>
      </c>
      <c r="G56" s="69">
        <v>66263</v>
      </c>
      <c r="H56" s="69">
        <f>SUM(D56:G56)</f>
        <v>2197690</v>
      </c>
      <c r="I56" s="70"/>
      <c r="J56" s="70"/>
    </row>
    <row r="57" spans="1:10" x14ac:dyDescent="0.4">
      <c r="C57" s="4" t="s">
        <v>769</v>
      </c>
      <c r="D57" s="69">
        <v>1614561</v>
      </c>
      <c r="E57" s="69">
        <v>313253</v>
      </c>
      <c r="F57" s="69">
        <v>183940</v>
      </c>
      <c r="G57" s="69">
        <v>59833</v>
      </c>
      <c r="H57" s="69">
        <f>SUM(D57:G57)</f>
        <v>2171587</v>
      </c>
      <c r="I57" s="70"/>
      <c r="J57" s="70"/>
    </row>
    <row r="58" spans="1:10" x14ac:dyDescent="0.4">
      <c r="D58" s="71">
        <f>+D56-D57</f>
        <v>34116</v>
      </c>
      <c r="E58" s="71">
        <f>+E56-E57</f>
        <v>-13955</v>
      </c>
      <c r="F58" s="71">
        <f>+F56-F57</f>
        <v>-488</v>
      </c>
      <c r="G58" s="71">
        <f>+G56-G57</f>
        <v>6430</v>
      </c>
      <c r="H58" s="71">
        <f>+H56-H57</f>
        <v>26103</v>
      </c>
      <c r="I58" s="70"/>
      <c r="J58" s="70"/>
    </row>
    <row r="59" spans="1:10" x14ac:dyDescent="0.4">
      <c r="D59" s="70"/>
      <c r="E59" s="70"/>
      <c r="F59" s="70"/>
      <c r="G59" s="69"/>
      <c r="H59" s="69"/>
      <c r="I59" s="70"/>
      <c r="J59" s="70"/>
    </row>
    <row r="60" spans="1:10" x14ac:dyDescent="0.4">
      <c r="D60" s="70"/>
      <c r="E60" s="70"/>
      <c r="F60" s="70"/>
      <c r="G60" s="69"/>
      <c r="H60" s="69"/>
      <c r="I60" s="70"/>
      <c r="J60" s="70"/>
    </row>
    <row r="61" spans="1:10" x14ac:dyDescent="0.4">
      <c r="D61" s="70"/>
      <c r="E61" s="70"/>
      <c r="F61" s="70"/>
      <c r="G61" s="69"/>
      <c r="H61" s="69"/>
      <c r="I61" s="70"/>
      <c r="J61" s="70"/>
    </row>
    <row r="62" spans="1:10" x14ac:dyDescent="0.4">
      <c r="D62" s="70"/>
      <c r="E62" s="70"/>
      <c r="F62" s="70"/>
      <c r="G62" s="69"/>
      <c r="H62" s="69"/>
      <c r="I62" s="70"/>
      <c r="J62" s="70"/>
    </row>
    <row r="63" spans="1:10" x14ac:dyDescent="0.4">
      <c r="D63" s="70"/>
      <c r="E63" s="70"/>
      <c r="F63" s="70"/>
      <c r="G63" s="69"/>
      <c r="H63" s="69"/>
      <c r="I63" s="70"/>
      <c r="J63" s="70"/>
    </row>
    <row r="64" spans="1:10" x14ac:dyDescent="0.4">
      <c r="D64" s="70"/>
      <c r="E64" s="70"/>
      <c r="F64" s="70"/>
      <c r="G64" s="69"/>
      <c r="H64" s="69"/>
      <c r="I64" s="70"/>
      <c r="J64" s="70"/>
    </row>
    <row r="65" spans="4:10" x14ac:dyDescent="0.4">
      <c r="D65" s="70"/>
      <c r="E65" s="70"/>
      <c r="F65" s="70"/>
      <c r="G65" s="69"/>
      <c r="H65" s="69"/>
      <c r="I65" s="70"/>
      <c r="J65" s="70"/>
    </row>
    <row r="66" spans="4:10" x14ac:dyDescent="0.4">
      <c r="D66" s="70"/>
      <c r="E66" s="70"/>
      <c r="F66" s="70"/>
      <c r="G66" s="69"/>
      <c r="H66" s="69"/>
      <c r="I66" s="70"/>
      <c r="J66" s="70"/>
    </row>
    <row r="67" spans="4:10" x14ac:dyDescent="0.4">
      <c r="D67" s="70"/>
      <c r="E67" s="70"/>
      <c r="F67" s="70"/>
      <c r="G67" s="69"/>
      <c r="H67" s="69"/>
      <c r="I67" s="70"/>
      <c r="J67" s="70"/>
    </row>
    <row r="68" spans="4:10" x14ac:dyDescent="0.4">
      <c r="D68" s="70"/>
      <c r="E68" s="70"/>
      <c r="F68" s="70"/>
      <c r="G68" s="69"/>
      <c r="H68" s="69"/>
      <c r="I68" s="70"/>
      <c r="J68" s="70"/>
    </row>
    <row r="69" spans="4:10" x14ac:dyDescent="0.4">
      <c r="D69" s="70"/>
      <c r="E69" s="70"/>
      <c r="F69" s="70"/>
      <c r="G69" s="69"/>
      <c r="H69" s="69"/>
      <c r="I69" s="70"/>
      <c r="J69" s="70"/>
    </row>
    <row r="70" spans="4:10" x14ac:dyDescent="0.4">
      <c r="D70" s="70"/>
      <c r="E70" s="70"/>
      <c r="F70" s="70"/>
      <c r="G70" s="69"/>
      <c r="H70" s="69"/>
      <c r="I70" s="70"/>
      <c r="J70" s="70"/>
    </row>
    <row r="71" spans="4:10" x14ac:dyDescent="0.4">
      <c r="D71" s="70"/>
      <c r="E71" s="70"/>
      <c r="F71" s="70"/>
      <c r="G71" s="69"/>
      <c r="H71" s="69"/>
      <c r="I71" s="70"/>
      <c r="J71" s="70"/>
    </row>
    <row r="72" spans="4:10" x14ac:dyDescent="0.4">
      <c r="D72" s="70"/>
      <c r="E72" s="70"/>
      <c r="F72" s="70"/>
      <c r="G72" s="69"/>
      <c r="H72" s="69"/>
      <c r="I72" s="70"/>
      <c r="J72" s="70"/>
    </row>
    <row r="73" spans="4:10" x14ac:dyDescent="0.4">
      <c r="D73" s="70"/>
      <c r="E73" s="70"/>
      <c r="F73" s="70"/>
      <c r="G73" s="69"/>
      <c r="H73" s="69"/>
      <c r="I73" s="70"/>
      <c r="J73" s="70"/>
    </row>
    <row r="74" spans="4:10" x14ac:dyDescent="0.4">
      <c r="D74" s="70"/>
      <c r="E74" s="70"/>
      <c r="F74" s="70"/>
      <c r="G74" s="69"/>
      <c r="H74" s="69"/>
      <c r="I74" s="70"/>
      <c r="J74" s="70"/>
    </row>
    <row r="75" spans="4:10" x14ac:dyDescent="0.4">
      <c r="D75" s="70"/>
      <c r="E75" s="70"/>
      <c r="F75" s="70"/>
      <c r="G75" s="69"/>
      <c r="H75" s="69"/>
      <c r="I75" s="70"/>
      <c r="J75" s="70"/>
    </row>
    <row r="76" spans="4:10" x14ac:dyDescent="0.4">
      <c r="D76" s="70"/>
      <c r="E76" s="70"/>
      <c r="F76" s="70"/>
      <c r="G76" s="69"/>
      <c r="H76" s="69"/>
      <c r="I76" s="70"/>
      <c r="J76" s="70"/>
    </row>
    <row r="77" spans="4:10" x14ac:dyDescent="0.4">
      <c r="D77" s="70"/>
      <c r="E77" s="70"/>
      <c r="F77" s="70"/>
      <c r="G77" s="69"/>
      <c r="H77" s="69"/>
      <c r="I77" s="70"/>
      <c r="J77" s="70"/>
    </row>
    <row r="78" spans="4:10" x14ac:dyDescent="0.4">
      <c r="D78" s="70"/>
      <c r="E78" s="70"/>
      <c r="F78" s="70"/>
      <c r="G78" s="69"/>
      <c r="H78" s="69"/>
      <c r="I78" s="70"/>
      <c r="J78" s="70"/>
    </row>
    <row r="79" spans="4:10" x14ac:dyDescent="0.4">
      <c r="D79" s="70"/>
      <c r="E79" s="70"/>
      <c r="F79" s="70"/>
      <c r="G79" s="69"/>
      <c r="H79" s="69"/>
      <c r="I79" s="70"/>
      <c r="J79" s="70"/>
    </row>
    <row r="80" spans="4:10" x14ac:dyDescent="0.4">
      <c r="D80" s="70"/>
      <c r="E80" s="70"/>
      <c r="F80" s="70"/>
      <c r="G80" s="69"/>
      <c r="H80" s="69"/>
      <c r="I80" s="70"/>
      <c r="J80" s="70"/>
    </row>
    <row r="81" spans="4:10" x14ac:dyDescent="0.4">
      <c r="D81" s="70"/>
      <c r="E81" s="70"/>
      <c r="F81" s="70"/>
      <c r="G81" s="69"/>
      <c r="H81" s="69"/>
      <c r="I81" s="70"/>
      <c r="J81" s="70"/>
    </row>
    <row r="82" spans="4:10" x14ac:dyDescent="0.4">
      <c r="D82" s="70"/>
      <c r="E82" s="70"/>
      <c r="F82" s="70"/>
      <c r="G82" s="69"/>
      <c r="H82" s="69"/>
      <c r="I82" s="70"/>
      <c r="J82" s="70"/>
    </row>
    <row r="83" spans="4:10" x14ac:dyDescent="0.4">
      <c r="D83" s="70"/>
      <c r="E83" s="70"/>
      <c r="F83" s="70"/>
      <c r="G83" s="69"/>
      <c r="H83" s="69"/>
      <c r="I83" s="70"/>
      <c r="J83" s="70"/>
    </row>
    <row r="84" spans="4:10" x14ac:dyDescent="0.4">
      <c r="D84" s="70"/>
      <c r="E84" s="70"/>
      <c r="F84" s="70"/>
      <c r="G84" s="69"/>
      <c r="H84" s="69"/>
      <c r="I84" s="70"/>
      <c r="J84" s="70"/>
    </row>
    <row r="85" spans="4:10" x14ac:dyDescent="0.4">
      <c r="D85" s="70"/>
      <c r="E85" s="70"/>
      <c r="F85" s="70"/>
      <c r="G85" s="69"/>
      <c r="H85" s="69"/>
      <c r="I85" s="70"/>
      <c r="J85" s="70"/>
    </row>
    <row r="86" spans="4:10" x14ac:dyDescent="0.4">
      <c r="D86" s="70"/>
      <c r="E86" s="70"/>
      <c r="F86" s="70"/>
      <c r="G86" s="69"/>
      <c r="H86" s="69"/>
      <c r="I86" s="70"/>
      <c r="J86" s="70"/>
    </row>
    <row r="87" spans="4:10" x14ac:dyDescent="0.4">
      <c r="D87" s="70"/>
      <c r="E87" s="70"/>
      <c r="F87" s="70"/>
      <c r="G87" s="69"/>
      <c r="H87" s="69"/>
      <c r="I87" s="70"/>
      <c r="J87" s="70"/>
    </row>
    <row r="88" spans="4:10" x14ac:dyDescent="0.4">
      <c r="D88" s="70"/>
      <c r="E88" s="70"/>
      <c r="F88" s="70"/>
      <c r="G88" s="69"/>
      <c r="H88" s="69"/>
      <c r="I88" s="70"/>
      <c r="J88" s="70"/>
    </row>
    <row r="89" spans="4:10" x14ac:dyDescent="0.4">
      <c r="D89" s="70"/>
      <c r="E89" s="70"/>
      <c r="F89" s="70"/>
      <c r="G89" s="69"/>
      <c r="H89" s="69"/>
      <c r="I89" s="70"/>
      <c r="J89" s="70"/>
    </row>
    <row r="90" spans="4:10" x14ac:dyDescent="0.4">
      <c r="D90" s="70"/>
      <c r="E90" s="70"/>
      <c r="F90" s="70"/>
      <c r="G90" s="69"/>
      <c r="H90" s="69"/>
      <c r="I90" s="70"/>
      <c r="J90" s="70"/>
    </row>
    <row r="91" spans="4:10" x14ac:dyDescent="0.4">
      <c r="D91" s="70"/>
      <c r="E91" s="70"/>
      <c r="F91" s="70"/>
      <c r="G91" s="69"/>
      <c r="H91" s="69"/>
      <c r="I91" s="70"/>
      <c r="J91" s="70"/>
    </row>
    <row r="92" spans="4:10" x14ac:dyDescent="0.4">
      <c r="D92" s="70"/>
      <c r="E92" s="70"/>
      <c r="F92" s="70"/>
      <c r="G92" s="69"/>
      <c r="H92" s="69"/>
      <c r="I92" s="70"/>
      <c r="J92" s="70"/>
    </row>
    <row r="93" spans="4:10" x14ac:dyDescent="0.4">
      <c r="D93" s="70"/>
      <c r="E93" s="70"/>
      <c r="F93" s="70"/>
      <c r="G93" s="69"/>
      <c r="H93" s="69"/>
      <c r="I93" s="70"/>
      <c r="J93" s="70"/>
    </row>
    <row r="94" spans="4:10" x14ac:dyDescent="0.4">
      <c r="D94" s="70"/>
      <c r="E94" s="70"/>
      <c r="F94" s="70"/>
      <c r="G94" s="69"/>
      <c r="H94" s="69"/>
      <c r="I94" s="70"/>
      <c r="J94" s="70"/>
    </row>
    <row r="95" spans="4:10" x14ac:dyDescent="0.4">
      <c r="D95" s="70"/>
      <c r="E95" s="70"/>
      <c r="F95" s="70"/>
      <c r="G95" s="69"/>
      <c r="H95" s="69"/>
      <c r="I95" s="70"/>
      <c r="J95" s="70"/>
    </row>
    <row r="96" spans="4:10" x14ac:dyDescent="0.4">
      <c r="D96" s="70"/>
      <c r="E96" s="70"/>
      <c r="F96" s="70"/>
      <c r="G96" s="69"/>
      <c r="H96" s="69"/>
      <c r="I96" s="70"/>
      <c r="J96" s="70"/>
    </row>
    <row r="97" spans="4:10" x14ac:dyDescent="0.4">
      <c r="D97" s="70"/>
      <c r="E97" s="70"/>
      <c r="F97" s="70"/>
      <c r="G97" s="69"/>
      <c r="H97" s="69"/>
      <c r="I97" s="70"/>
      <c r="J97" s="70"/>
    </row>
    <row r="98" spans="4:10" x14ac:dyDescent="0.4">
      <c r="D98" s="70"/>
      <c r="E98" s="70"/>
      <c r="F98" s="70"/>
      <c r="G98" s="69"/>
      <c r="H98" s="69"/>
      <c r="I98" s="70"/>
      <c r="J98" s="70"/>
    </row>
    <row r="99" spans="4:10" x14ac:dyDescent="0.4">
      <c r="D99" s="70"/>
      <c r="E99" s="70"/>
      <c r="F99" s="70"/>
      <c r="G99" s="69"/>
      <c r="H99" s="69"/>
      <c r="I99" s="70"/>
      <c r="J99" s="70"/>
    </row>
    <row r="100" spans="4:10" x14ac:dyDescent="0.4">
      <c r="D100" s="70"/>
      <c r="E100" s="70"/>
      <c r="F100" s="70"/>
      <c r="G100" s="69"/>
      <c r="H100" s="69"/>
      <c r="I100" s="70"/>
      <c r="J100" s="70"/>
    </row>
    <row r="101" spans="4:10" x14ac:dyDescent="0.4">
      <c r="D101" s="70"/>
      <c r="E101" s="70"/>
      <c r="F101" s="70"/>
      <c r="G101" s="69"/>
      <c r="H101" s="69"/>
      <c r="I101" s="70"/>
      <c r="J101" s="70"/>
    </row>
    <row r="102" spans="4:10" x14ac:dyDescent="0.4">
      <c r="D102" s="70"/>
      <c r="E102" s="70"/>
      <c r="F102" s="70"/>
      <c r="G102" s="69"/>
      <c r="H102" s="69"/>
      <c r="I102" s="70"/>
      <c r="J102" s="70"/>
    </row>
    <row r="103" spans="4:10" x14ac:dyDescent="0.4">
      <c r="D103" s="70"/>
      <c r="E103" s="70"/>
      <c r="F103" s="70"/>
      <c r="G103" s="69"/>
      <c r="H103" s="69"/>
      <c r="I103" s="70"/>
      <c r="J103" s="70"/>
    </row>
    <row r="104" spans="4:10" x14ac:dyDescent="0.4">
      <c r="D104" s="70"/>
      <c r="E104" s="70"/>
      <c r="F104" s="70"/>
      <c r="G104" s="69"/>
      <c r="H104" s="69"/>
      <c r="I104" s="70"/>
      <c r="J104" s="70"/>
    </row>
    <row r="105" spans="4:10" x14ac:dyDescent="0.4">
      <c r="D105" s="70"/>
      <c r="E105" s="70"/>
      <c r="F105" s="70"/>
      <c r="G105" s="69"/>
      <c r="H105" s="69"/>
      <c r="I105" s="70"/>
      <c r="J105" s="70"/>
    </row>
    <row r="106" spans="4:10" x14ac:dyDescent="0.4">
      <c r="D106" s="70"/>
      <c r="E106" s="70"/>
      <c r="F106" s="70"/>
      <c r="G106" s="69"/>
      <c r="H106" s="69"/>
      <c r="I106" s="70"/>
      <c r="J106" s="70"/>
    </row>
    <row r="107" spans="4:10" x14ac:dyDescent="0.4">
      <c r="D107" s="70"/>
      <c r="E107" s="70"/>
      <c r="F107" s="70"/>
      <c r="G107" s="69"/>
      <c r="H107" s="69"/>
      <c r="I107" s="70"/>
      <c r="J107" s="70"/>
    </row>
    <row r="108" spans="4:10" x14ac:dyDescent="0.4">
      <c r="D108" s="70"/>
      <c r="E108" s="70"/>
      <c r="F108" s="70"/>
      <c r="G108" s="69"/>
      <c r="H108" s="69"/>
      <c r="I108" s="70"/>
      <c r="J108" s="70"/>
    </row>
    <row r="109" spans="4:10" x14ac:dyDescent="0.4">
      <c r="D109" s="70"/>
      <c r="E109" s="70"/>
      <c r="F109" s="70"/>
      <c r="G109" s="69"/>
      <c r="H109" s="69"/>
      <c r="I109" s="70"/>
      <c r="J109" s="70"/>
    </row>
    <row r="110" spans="4:10" x14ac:dyDescent="0.4">
      <c r="D110" s="70"/>
      <c r="E110" s="70"/>
      <c r="F110" s="70"/>
      <c r="G110" s="69"/>
      <c r="H110" s="69"/>
      <c r="I110" s="70"/>
      <c r="J110" s="70"/>
    </row>
    <row r="111" spans="4:10" x14ac:dyDescent="0.4">
      <c r="D111" s="70"/>
      <c r="E111" s="70"/>
      <c r="F111" s="70"/>
      <c r="G111" s="69"/>
      <c r="H111" s="69"/>
      <c r="I111" s="70"/>
      <c r="J111" s="70"/>
    </row>
    <row r="112" spans="4:10" x14ac:dyDescent="0.4">
      <c r="D112" s="70"/>
      <c r="E112" s="70"/>
      <c r="F112" s="70"/>
      <c r="G112" s="69"/>
      <c r="H112" s="69"/>
      <c r="I112" s="70"/>
      <c r="J112" s="70"/>
    </row>
    <row r="113" spans="4:10" x14ac:dyDescent="0.4">
      <c r="D113" s="70"/>
      <c r="E113" s="70"/>
      <c r="F113" s="70"/>
      <c r="G113" s="69"/>
      <c r="H113" s="69"/>
      <c r="I113" s="70"/>
      <c r="J113" s="70"/>
    </row>
    <row r="114" spans="4:10" x14ac:dyDescent="0.4">
      <c r="D114" s="70"/>
      <c r="E114" s="70"/>
      <c r="F114" s="70"/>
      <c r="G114" s="69"/>
      <c r="H114" s="69"/>
      <c r="I114" s="70"/>
      <c r="J114" s="70"/>
    </row>
    <row r="115" spans="4:10" x14ac:dyDescent="0.4">
      <c r="D115" s="70"/>
      <c r="E115" s="70"/>
      <c r="F115" s="70"/>
      <c r="G115" s="69"/>
      <c r="H115" s="69"/>
      <c r="I115" s="70"/>
      <c r="J115" s="70"/>
    </row>
    <row r="116" spans="4:10" x14ac:dyDescent="0.4">
      <c r="D116" s="70"/>
      <c r="E116" s="70"/>
      <c r="F116" s="70"/>
      <c r="G116" s="69"/>
      <c r="H116" s="69"/>
      <c r="I116" s="70"/>
      <c r="J116" s="70"/>
    </row>
    <row r="117" spans="4:10" x14ac:dyDescent="0.4">
      <c r="D117" s="70"/>
      <c r="E117" s="70"/>
      <c r="F117" s="70"/>
      <c r="G117" s="69"/>
      <c r="H117" s="69"/>
      <c r="I117" s="70"/>
      <c r="J117" s="70"/>
    </row>
    <row r="118" spans="4:10" x14ac:dyDescent="0.4">
      <c r="D118" s="70"/>
      <c r="E118" s="70"/>
      <c r="F118" s="70"/>
      <c r="G118" s="69"/>
      <c r="H118" s="69"/>
      <c r="I118" s="70"/>
      <c r="J118" s="70"/>
    </row>
    <row r="119" spans="4:10" x14ac:dyDescent="0.4">
      <c r="D119" s="70"/>
      <c r="E119" s="70"/>
      <c r="F119" s="70"/>
      <c r="G119" s="69"/>
      <c r="H119" s="69"/>
      <c r="I119" s="70"/>
      <c r="J119" s="70"/>
    </row>
    <row r="120" spans="4:10" x14ac:dyDescent="0.4">
      <c r="D120" s="70"/>
      <c r="E120" s="70"/>
      <c r="F120" s="70"/>
      <c r="G120" s="69"/>
      <c r="H120" s="69"/>
      <c r="I120" s="70"/>
      <c r="J120" s="70"/>
    </row>
    <row r="121" spans="4:10" x14ac:dyDescent="0.4">
      <c r="D121" s="70"/>
      <c r="E121" s="70"/>
      <c r="F121" s="70"/>
      <c r="G121" s="69"/>
      <c r="H121" s="69"/>
      <c r="I121" s="70"/>
      <c r="J121" s="70"/>
    </row>
    <row r="122" spans="4:10" x14ac:dyDescent="0.4">
      <c r="D122" s="70"/>
      <c r="E122" s="70"/>
      <c r="F122" s="70"/>
      <c r="G122" s="69"/>
      <c r="H122" s="69"/>
      <c r="I122" s="70"/>
      <c r="J122" s="70"/>
    </row>
    <row r="123" spans="4:10" x14ac:dyDescent="0.4">
      <c r="D123" s="70"/>
      <c r="E123" s="70"/>
      <c r="F123" s="70"/>
      <c r="G123" s="69"/>
      <c r="H123" s="69"/>
      <c r="I123" s="70"/>
      <c r="J123" s="70"/>
    </row>
    <row r="124" spans="4:10" x14ac:dyDescent="0.4">
      <c r="D124" s="70"/>
      <c r="E124" s="70"/>
      <c r="F124" s="70"/>
      <c r="G124" s="69"/>
      <c r="H124" s="69"/>
      <c r="I124" s="70"/>
      <c r="J124" s="70"/>
    </row>
    <row r="125" spans="4:10" x14ac:dyDescent="0.4">
      <c r="D125" s="70"/>
      <c r="E125" s="70"/>
      <c r="F125" s="70"/>
      <c r="G125" s="69"/>
      <c r="H125" s="69"/>
      <c r="I125" s="70"/>
      <c r="J125" s="70"/>
    </row>
    <row r="126" spans="4:10" x14ac:dyDescent="0.4">
      <c r="D126" s="70"/>
      <c r="E126" s="70"/>
      <c r="F126" s="70"/>
      <c r="G126" s="69"/>
      <c r="H126" s="69"/>
      <c r="I126" s="70"/>
      <c r="J126" s="70"/>
    </row>
    <row r="127" spans="4:10" x14ac:dyDescent="0.4">
      <c r="D127" s="70"/>
      <c r="E127" s="70"/>
      <c r="F127" s="70"/>
      <c r="G127" s="69"/>
      <c r="H127" s="69"/>
      <c r="I127" s="70"/>
      <c r="J127" s="70"/>
    </row>
    <row r="128" spans="4:10" x14ac:dyDescent="0.4">
      <c r="D128" s="70"/>
      <c r="E128" s="70"/>
      <c r="F128" s="70"/>
      <c r="G128" s="69"/>
      <c r="H128" s="69"/>
      <c r="I128" s="70"/>
      <c r="J128" s="70"/>
    </row>
    <row r="129" spans="4:10" x14ac:dyDescent="0.4">
      <c r="D129" s="70"/>
      <c r="E129" s="70"/>
      <c r="F129" s="70"/>
      <c r="G129" s="69"/>
      <c r="H129" s="69"/>
      <c r="I129" s="70"/>
      <c r="J129" s="70"/>
    </row>
    <row r="130" spans="4:10" x14ac:dyDescent="0.4">
      <c r="D130" s="70"/>
      <c r="E130" s="70"/>
      <c r="F130" s="70"/>
      <c r="G130" s="69"/>
      <c r="H130" s="69"/>
      <c r="I130" s="70"/>
      <c r="J130" s="70"/>
    </row>
    <row r="131" spans="4:10" x14ac:dyDescent="0.4">
      <c r="D131" s="70"/>
      <c r="E131" s="70"/>
      <c r="F131" s="70"/>
      <c r="G131" s="69"/>
      <c r="H131" s="69"/>
      <c r="I131" s="70"/>
      <c r="J131" s="70"/>
    </row>
    <row r="132" spans="4:10" x14ac:dyDescent="0.4">
      <c r="D132" s="70"/>
      <c r="E132" s="70"/>
      <c r="F132" s="70"/>
      <c r="G132" s="69"/>
      <c r="H132" s="69"/>
      <c r="I132" s="70"/>
      <c r="J132" s="70"/>
    </row>
    <row r="133" spans="4:10" x14ac:dyDescent="0.4">
      <c r="D133" s="70"/>
      <c r="E133" s="70"/>
      <c r="F133" s="70"/>
      <c r="G133" s="69"/>
      <c r="H133" s="69"/>
      <c r="I133" s="70"/>
      <c r="J133" s="70"/>
    </row>
    <row r="134" spans="4:10" x14ac:dyDescent="0.4">
      <c r="D134" s="70"/>
      <c r="E134" s="70"/>
      <c r="F134" s="70"/>
      <c r="G134" s="69"/>
      <c r="H134" s="69"/>
      <c r="I134" s="70"/>
      <c r="J134" s="70"/>
    </row>
    <row r="135" spans="4:10" x14ac:dyDescent="0.4">
      <c r="D135" s="70"/>
      <c r="E135" s="70"/>
      <c r="F135" s="70"/>
      <c r="G135" s="69"/>
      <c r="H135" s="69"/>
      <c r="I135" s="70"/>
      <c r="J135" s="70"/>
    </row>
    <row r="136" spans="4:10" x14ac:dyDescent="0.4">
      <c r="D136" s="70"/>
      <c r="E136" s="70"/>
      <c r="F136" s="70"/>
      <c r="G136" s="69"/>
      <c r="H136" s="69"/>
      <c r="I136" s="70"/>
      <c r="J136" s="70"/>
    </row>
    <row r="137" spans="4:10" x14ac:dyDescent="0.4">
      <c r="D137" s="70"/>
      <c r="E137" s="70"/>
      <c r="F137" s="70"/>
      <c r="G137" s="69"/>
      <c r="H137" s="69"/>
      <c r="I137" s="70"/>
      <c r="J137" s="70"/>
    </row>
    <row r="138" spans="4:10" x14ac:dyDescent="0.4">
      <c r="D138" s="70"/>
      <c r="E138" s="70"/>
      <c r="F138" s="70"/>
      <c r="G138" s="69"/>
      <c r="H138" s="69"/>
      <c r="I138" s="70"/>
      <c r="J138" s="70"/>
    </row>
    <row r="139" spans="4:10" x14ac:dyDescent="0.4">
      <c r="D139" s="70"/>
      <c r="E139" s="70"/>
      <c r="F139" s="70"/>
      <c r="G139" s="69"/>
      <c r="H139" s="69"/>
      <c r="I139" s="70"/>
      <c r="J139" s="70"/>
    </row>
    <row r="140" spans="4:10" x14ac:dyDescent="0.4">
      <c r="D140" s="70"/>
      <c r="E140" s="70"/>
      <c r="F140" s="70"/>
      <c r="G140" s="69"/>
      <c r="H140" s="69"/>
      <c r="I140" s="70"/>
      <c r="J140" s="70"/>
    </row>
    <row r="141" spans="4:10" x14ac:dyDescent="0.4">
      <c r="D141" s="70"/>
      <c r="E141" s="70"/>
      <c r="F141" s="70"/>
      <c r="G141" s="69"/>
      <c r="H141" s="69"/>
      <c r="I141" s="70"/>
      <c r="J141" s="70"/>
    </row>
    <row r="142" spans="4:10" x14ac:dyDescent="0.4">
      <c r="D142" s="70"/>
      <c r="E142" s="70"/>
      <c r="F142" s="70"/>
      <c r="G142" s="69"/>
      <c r="H142" s="69"/>
      <c r="I142" s="70"/>
      <c r="J142" s="70"/>
    </row>
    <row r="143" spans="4:10" x14ac:dyDescent="0.4">
      <c r="D143" s="70"/>
      <c r="E143" s="70"/>
      <c r="F143" s="70"/>
      <c r="G143" s="69"/>
      <c r="H143" s="69"/>
      <c r="I143" s="70"/>
      <c r="J143" s="70"/>
    </row>
    <row r="144" spans="4:10" x14ac:dyDescent="0.4">
      <c r="D144" s="70"/>
      <c r="E144" s="70"/>
      <c r="F144" s="70"/>
      <c r="G144" s="69"/>
      <c r="H144" s="69"/>
      <c r="I144" s="70"/>
      <c r="J144" s="70"/>
    </row>
    <row r="145" spans="4:10" x14ac:dyDescent="0.4">
      <c r="D145" s="70"/>
      <c r="E145" s="70"/>
      <c r="F145" s="70"/>
      <c r="G145" s="69"/>
      <c r="H145" s="69"/>
      <c r="I145" s="70"/>
      <c r="J145" s="70"/>
    </row>
    <row r="146" spans="4:10" x14ac:dyDescent="0.4">
      <c r="D146" s="70"/>
      <c r="E146" s="70"/>
      <c r="F146" s="70"/>
      <c r="G146" s="69"/>
      <c r="H146" s="69"/>
      <c r="I146" s="70"/>
      <c r="J146" s="70"/>
    </row>
    <row r="147" spans="4:10" x14ac:dyDescent="0.4">
      <c r="D147" s="70"/>
      <c r="E147" s="70"/>
      <c r="F147" s="70"/>
      <c r="G147" s="69"/>
      <c r="H147" s="69"/>
      <c r="I147" s="70"/>
      <c r="J147" s="70"/>
    </row>
    <row r="148" spans="4:10" x14ac:dyDescent="0.4">
      <c r="D148" s="70"/>
      <c r="E148" s="70"/>
      <c r="F148" s="70"/>
      <c r="G148" s="69"/>
      <c r="H148" s="69"/>
      <c r="I148" s="70"/>
      <c r="J148" s="70"/>
    </row>
    <row r="149" spans="4:10" x14ac:dyDescent="0.4">
      <c r="D149" s="70"/>
      <c r="E149" s="70"/>
      <c r="F149" s="70"/>
      <c r="G149" s="69"/>
      <c r="H149" s="69"/>
      <c r="I149" s="70"/>
      <c r="J149" s="70"/>
    </row>
    <row r="150" spans="4:10" x14ac:dyDescent="0.4">
      <c r="D150" s="70"/>
      <c r="E150" s="70"/>
      <c r="F150" s="70"/>
      <c r="G150" s="69"/>
      <c r="H150" s="69"/>
      <c r="I150" s="70"/>
      <c r="J150" s="70"/>
    </row>
    <row r="151" spans="4:10" x14ac:dyDescent="0.4">
      <c r="D151" s="70"/>
      <c r="E151" s="70"/>
      <c r="F151" s="70"/>
      <c r="G151" s="69"/>
      <c r="H151" s="69"/>
      <c r="I151" s="70"/>
      <c r="J151" s="70"/>
    </row>
    <row r="152" spans="4:10" x14ac:dyDescent="0.4">
      <c r="D152" s="70"/>
      <c r="E152" s="70"/>
      <c r="F152" s="70"/>
      <c r="G152" s="69"/>
      <c r="H152" s="69"/>
      <c r="I152" s="70"/>
      <c r="J152" s="70"/>
    </row>
    <row r="153" spans="4:10" x14ac:dyDescent="0.4">
      <c r="D153" s="70"/>
      <c r="E153" s="70"/>
      <c r="F153" s="70"/>
      <c r="G153" s="69"/>
      <c r="H153" s="69"/>
      <c r="I153" s="70"/>
      <c r="J153" s="70"/>
    </row>
    <row r="154" spans="4:10" x14ac:dyDescent="0.4">
      <c r="D154" s="70"/>
      <c r="E154" s="70"/>
      <c r="F154" s="70"/>
      <c r="G154" s="69"/>
      <c r="H154" s="69"/>
      <c r="I154" s="70"/>
      <c r="J154" s="70"/>
    </row>
    <row r="155" spans="4:10" x14ac:dyDescent="0.4">
      <c r="D155" s="70"/>
      <c r="E155" s="70"/>
      <c r="F155" s="70"/>
      <c r="G155" s="69"/>
      <c r="H155" s="69"/>
      <c r="I155" s="70"/>
      <c r="J155" s="70"/>
    </row>
    <row r="156" spans="4:10" x14ac:dyDescent="0.4">
      <c r="D156" s="70"/>
      <c r="E156" s="70"/>
      <c r="F156" s="70"/>
      <c r="G156" s="69"/>
      <c r="H156" s="69"/>
      <c r="I156" s="70"/>
      <c r="J156" s="70"/>
    </row>
    <row r="157" spans="4:10" x14ac:dyDescent="0.4">
      <c r="D157" s="70"/>
      <c r="E157" s="70"/>
      <c r="F157" s="70"/>
      <c r="G157" s="69"/>
      <c r="H157" s="69"/>
      <c r="I157" s="70"/>
      <c r="J157" s="70"/>
    </row>
    <row r="158" spans="4:10" x14ac:dyDescent="0.4">
      <c r="D158" s="70"/>
      <c r="E158" s="70"/>
      <c r="F158" s="70"/>
      <c r="G158" s="69"/>
      <c r="H158" s="69"/>
      <c r="I158" s="70"/>
      <c r="J158" s="70"/>
    </row>
    <row r="159" spans="4:10" x14ac:dyDescent="0.4">
      <c r="D159" s="70"/>
      <c r="E159" s="70"/>
      <c r="F159" s="70"/>
      <c r="G159" s="69"/>
      <c r="H159" s="69"/>
      <c r="I159" s="70"/>
      <c r="J159" s="70"/>
    </row>
    <row r="160" spans="4:10" x14ac:dyDescent="0.4">
      <c r="D160" s="70"/>
      <c r="E160" s="70"/>
      <c r="F160" s="70"/>
      <c r="G160" s="69"/>
      <c r="H160" s="69"/>
      <c r="I160" s="70"/>
      <c r="J160" s="70"/>
    </row>
    <row r="161" spans="4:10" x14ac:dyDescent="0.4">
      <c r="D161" s="70"/>
      <c r="E161" s="70"/>
      <c r="F161" s="70"/>
      <c r="G161" s="69"/>
      <c r="H161" s="69"/>
      <c r="I161" s="70"/>
      <c r="J161" s="70"/>
    </row>
    <row r="162" spans="4:10" x14ac:dyDescent="0.4">
      <c r="D162" s="70"/>
      <c r="E162" s="70"/>
      <c r="F162" s="70"/>
      <c r="G162" s="69"/>
      <c r="H162" s="69"/>
      <c r="I162" s="70"/>
      <c r="J162" s="70"/>
    </row>
    <row r="163" spans="4:10" x14ac:dyDescent="0.4">
      <c r="D163" s="70"/>
      <c r="E163" s="70"/>
      <c r="F163" s="70"/>
      <c r="G163" s="69"/>
      <c r="H163" s="69"/>
      <c r="I163" s="70"/>
      <c r="J163" s="70"/>
    </row>
    <row r="164" spans="4:10" x14ac:dyDescent="0.4">
      <c r="D164" s="70"/>
      <c r="E164" s="70"/>
      <c r="F164" s="70"/>
      <c r="G164" s="69"/>
      <c r="H164" s="69"/>
      <c r="I164" s="70"/>
      <c r="J164" s="70"/>
    </row>
    <row r="165" spans="4:10" x14ac:dyDescent="0.4">
      <c r="D165" s="70"/>
      <c r="E165" s="70"/>
      <c r="F165" s="70"/>
      <c r="G165" s="69"/>
      <c r="H165" s="69"/>
      <c r="I165" s="70"/>
      <c r="J165" s="70"/>
    </row>
    <row r="166" spans="4:10" x14ac:dyDescent="0.4">
      <c r="D166" s="70"/>
      <c r="E166" s="70"/>
      <c r="F166" s="70"/>
      <c r="G166" s="69"/>
      <c r="H166" s="69"/>
      <c r="I166" s="70"/>
      <c r="J166" s="70"/>
    </row>
    <row r="167" spans="4:10" x14ac:dyDescent="0.4">
      <c r="D167" s="70"/>
      <c r="E167" s="70"/>
      <c r="F167" s="70"/>
      <c r="G167" s="69"/>
      <c r="H167" s="69"/>
      <c r="I167" s="70"/>
      <c r="J167" s="70"/>
    </row>
    <row r="168" spans="4:10" x14ac:dyDescent="0.4">
      <c r="D168" s="70"/>
      <c r="E168" s="70"/>
      <c r="F168" s="70"/>
      <c r="G168" s="69"/>
      <c r="H168" s="69"/>
      <c r="I168" s="70"/>
      <c r="J168" s="70"/>
    </row>
    <row r="169" spans="4:10" x14ac:dyDescent="0.4">
      <c r="D169" s="70"/>
      <c r="E169" s="70"/>
      <c r="F169" s="70"/>
      <c r="G169" s="69"/>
      <c r="H169" s="69"/>
      <c r="I169" s="70"/>
      <c r="J169" s="70"/>
    </row>
    <row r="170" spans="4:10" x14ac:dyDescent="0.4">
      <c r="D170" s="70"/>
      <c r="E170" s="70"/>
      <c r="F170" s="70"/>
      <c r="G170" s="69"/>
      <c r="H170" s="69"/>
      <c r="I170" s="70"/>
      <c r="J170" s="70"/>
    </row>
    <row r="171" spans="4:10" x14ac:dyDescent="0.4">
      <c r="D171" s="70"/>
      <c r="E171" s="70"/>
      <c r="F171" s="70"/>
      <c r="G171" s="69"/>
      <c r="H171" s="69"/>
      <c r="I171" s="70"/>
      <c r="J171" s="70"/>
    </row>
    <row r="172" spans="4:10" x14ac:dyDescent="0.4">
      <c r="D172" s="70"/>
      <c r="E172" s="70"/>
      <c r="F172" s="70"/>
      <c r="G172" s="69"/>
      <c r="H172" s="69"/>
      <c r="I172" s="70"/>
      <c r="J172" s="70"/>
    </row>
    <row r="173" spans="4:10" x14ac:dyDescent="0.4">
      <c r="D173" s="70"/>
      <c r="E173" s="70"/>
      <c r="F173" s="70"/>
      <c r="G173" s="69"/>
      <c r="H173" s="69"/>
      <c r="I173" s="70"/>
      <c r="J173" s="70"/>
    </row>
    <row r="174" spans="4:10" x14ac:dyDescent="0.4">
      <c r="D174" s="70"/>
      <c r="E174" s="70"/>
      <c r="F174" s="70"/>
      <c r="G174" s="69"/>
      <c r="H174" s="69"/>
      <c r="I174" s="70"/>
      <c r="J174" s="70"/>
    </row>
    <row r="175" spans="4:10" x14ac:dyDescent="0.4">
      <c r="D175" s="70"/>
      <c r="E175" s="70"/>
      <c r="F175" s="70"/>
      <c r="G175" s="69"/>
      <c r="H175" s="69"/>
      <c r="I175" s="70"/>
      <c r="J175" s="70"/>
    </row>
    <row r="176" spans="4:10" x14ac:dyDescent="0.4">
      <c r="D176" s="70"/>
      <c r="E176" s="70"/>
      <c r="F176" s="70"/>
      <c r="G176" s="69"/>
      <c r="H176" s="69"/>
      <c r="I176" s="70"/>
      <c r="J176" s="70"/>
    </row>
    <row r="177" spans="4:10" x14ac:dyDescent="0.4">
      <c r="D177" s="70"/>
      <c r="E177" s="70"/>
      <c r="F177" s="70"/>
      <c r="G177" s="69"/>
      <c r="H177" s="69"/>
      <c r="I177" s="70"/>
      <c r="J177" s="70"/>
    </row>
    <row r="178" spans="4:10" x14ac:dyDescent="0.4">
      <c r="D178" s="70"/>
      <c r="E178" s="70"/>
      <c r="F178" s="70"/>
      <c r="G178" s="69"/>
      <c r="H178" s="69"/>
      <c r="I178" s="70"/>
      <c r="J178" s="70"/>
    </row>
    <row r="179" spans="4:10" x14ac:dyDescent="0.4">
      <c r="D179" s="70"/>
      <c r="E179" s="70"/>
      <c r="F179" s="70"/>
      <c r="G179" s="69"/>
      <c r="H179" s="69"/>
      <c r="I179" s="70"/>
      <c r="J179" s="70"/>
    </row>
    <row r="180" spans="4:10" x14ac:dyDescent="0.4">
      <c r="D180" s="70"/>
      <c r="E180" s="70"/>
      <c r="F180" s="70"/>
      <c r="G180" s="69"/>
      <c r="H180" s="69"/>
      <c r="I180" s="70"/>
      <c r="J180" s="70"/>
    </row>
    <row r="181" spans="4:10" x14ac:dyDescent="0.4">
      <c r="D181" s="70"/>
      <c r="E181" s="70"/>
      <c r="F181" s="70"/>
      <c r="G181" s="69"/>
      <c r="H181" s="69"/>
      <c r="I181" s="70"/>
      <c r="J181" s="70"/>
    </row>
    <row r="182" spans="4:10" x14ac:dyDescent="0.4">
      <c r="D182" s="70"/>
      <c r="E182" s="70"/>
      <c r="F182" s="70"/>
      <c r="G182" s="69"/>
      <c r="H182" s="69"/>
      <c r="I182" s="70"/>
      <c r="J182" s="70"/>
    </row>
    <row r="183" spans="4:10" x14ac:dyDescent="0.4">
      <c r="D183" s="70"/>
      <c r="E183" s="70"/>
      <c r="F183" s="70"/>
      <c r="G183" s="69"/>
      <c r="H183" s="69"/>
      <c r="I183" s="70"/>
      <c r="J183" s="70"/>
    </row>
    <row r="184" spans="4:10" x14ac:dyDescent="0.4">
      <c r="D184" s="70"/>
      <c r="E184" s="70"/>
      <c r="F184" s="70"/>
      <c r="G184" s="69"/>
      <c r="H184" s="69"/>
      <c r="I184" s="70"/>
      <c r="J184" s="70"/>
    </row>
    <row r="185" spans="4:10" x14ac:dyDescent="0.4">
      <c r="D185" s="70"/>
      <c r="E185" s="70"/>
      <c r="F185" s="70"/>
      <c r="G185" s="69"/>
      <c r="H185" s="69"/>
      <c r="I185" s="70"/>
      <c r="J185" s="70"/>
    </row>
    <row r="186" spans="4:10" x14ac:dyDescent="0.4">
      <c r="D186" s="70"/>
      <c r="E186" s="70"/>
      <c r="F186" s="70"/>
      <c r="G186" s="69"/>
      <c r="H186" s="69"/>
      <c r="I186" s="70"/>
      <c r="J186" s="70"/>
    </row>
    <row r="187" spans="4:10" x14ac:dyDescent="0.4">
      <c r="D187" s="70"/>
      <c r="E187" s="70"/>
      <c r="F187" s="70"/>
      <c r="G187" s="69"/>
      <c r="H187" s="69"/>
      <c r="I187" s="70"/>
      <c r="J187" s="70"/>
    </row>
    <row r="188" spans="4:10" x14ac:dyDescent="0.4">
      <c r="D188" s="70"/>
      <c r="E188" s="70"/>
      <c r="F188" s="70"/>
      <c r="G188" s="69"/>
      <c r="H188" s="69"/>
      <c r="I188" s="70"/>
      <c r="J188" s="70"/>
    </row>
    <row r="189" spans="4:10" x14ac:dyDescent="0.4">
      <c r="D189" s="70"/>
      <c r="E189" s="70"/>
      <c r="F189" s="70"/>
      <c r="G189" s="69"/>
      <c r="H189" s="69"/>
      <c r="I189" s="70"/>
      <c r="J189" s="70"/>
    </row>
    <row r="190" spans="4:10" x14ac:dyDescent="0.4">
      <c r="D190" s="70"/>
      <c r="E190" s="70"/>
      <c r="F190" s="70"/>
      <c r="G190" s="69"/>
      <c r="H190" s="69"/>
      <c r="I190" s="70"/>
      <c r="J190" s="70"/>
    </row>
    <row r="191" spans="4:10" x14ac:dyDescent="0.4">
      <c r="D191" s="70"/>
      <c r="E191" s="70"/>
      <c r="F191" s="70"/>
      <c r="G191" s="69"/>
      <c r="H191" s="69"/>
      <c r="I191" s="70"/>
      <c r="J191" s="70"/>
    </row>
    <row r="192" spans="4:10" x14ac:dyDescent="0.4">
      <c r="D192" s="70"/>
      <c r="E192" s="70"/>
      <c r="F192" s="70"/>
      <c r="G192" s="69"/>
      <c r="H192" s="69"/>
      <c r="I192" s="70"/>
      <c r="J192" s="70"/>
    </row>
    <row r="193" spans="4:10" x14ac:dyDescent="0.4">
      <c r="D193" s="70"/>
      <c r="E193" s="70"/>
      <c r="F193" s="70"/>
      <c r="G193" s="69"/>
      <c r="H193" s="69"/>
      <c r="I193" s="70"/>
      <c r="J193" s="70"/>
    </row>
    <row r="194" spans="4:10" x14ac:dyDescent="0.4">
      <c r="D194" s="70"/>
      <c r="E194" s="70"/>
      <c r="F194" s="70"/>
      <c r="G194" s="69"/>
      <c r="H194" s="69"/>
      <c r="I194" s="70"/>
      <c r="J194" s="70"/>
    </row>
    <row r="195" spans="4:10" x14ac:dyDescent="0.4">
      <c r="D195" s="70"/>
      <c r="E195" s="70"/>
      <c r="F195" s="70"/>
      <c r="G195" s="69"/>
      <c r="H195" s="69"/>
      <c r="I195" s="70"/>
      <c r="J195" s="70"/>
    </row>
    <row r="196" spans="4:10" x14ac:dyDescent="0.4">
      <c r="D196" s="70"/>
      <c r="E196" s="70"/>
      <c r="F196" s="70"/>
      <c r="G196" s="69"/>
      <c r="H196" s="69"/>
      <c r="I196" s="70"/>
      <c r="J196" s="70"/>
    </row>
    <row r="197" spans="4:10" x14ac:dyDescent="0.4">
      <c r="D197" s="70"/>
      <c r="E197" s="70"/>
      <c r="F197" s="70"/>
      <c r="G197" s="69"/>
      <c r="H197" s="69"/>
      <c r="I197" s="70"/>
      <c r="J197" s="70"/>
    </row>
    <row r="198" spans="4:10" x14ac:dyDescent="0.4">
      <c r="D198" s="70"/>
      <c r="E198" s="70"/>
      <c r="F198" s="70"/>
      <c r="G198" s="69"/>
      <c r="H198" s="69"/>
      <c r="I198" s="70"/>
      <c r="J198" s="70"/>
    </row>
    <row r="199" spans="4:10" x14ac:dyDescent="0.4">
      <c r="D199" s="70"/>
      <c r="E199" s="70"/>
      <c r="F199" s="70"/>
      <c r="G199" s="69"/>
      <c r="H199" s="69"/>
      <c r="I199" s="70"/>
      <c r="J199" s="70"/>
    </row>
    <row r="200" spans="4:10" x14ac:dyDescent="0.4">
      <c r="D200" s="70"/>
      <c r="E200" s="70"/>
      <c r="F200" s="70"/>
      <c r="G200" s="69"/>
      <c r="H200" s="69"/>
      <c r="I200" s="70"/>
      <c r="J200" s="70"/>
    </row>
    <row r="201" spans="4:10" x14ac:dyDescent="0.4">
      <c r="D201" s="70"/>
      <c r="E201" s="70"/>
      <c r="F201" s="70"/>
      <c r="G201" s="69"/>
      <c r="H201" s="69"/>
      <c r="I201" s="70"/>
      <c r="J201" s="70"/>
    </row>
    <row r="202" spans="4:10" x14ac:dyDescent="0.4">
      <c r="D202" s="70"/>
      <c r="E202" s="70"/>
      <c r="F202" s="70"/>
      <c r="G202" s="69"/>
      <c r="H202" s="69"/>
      <c r="I202" s="70"/>
      <c r="J202" s="70"/>
    </row>
    <row r="203" spans="4:10" x14ac:dyDescent="0.4">
      <c r="D203" s="70"/>
      <c r="E203" s="70"/>
      <c r="F203" s="70"/>
      <c r="G203" s="69"/>
      <c r="H203" s="69"/>
      <c r="I203" s="70"/>
      <c r="J203" s="70"/>
    </row>
  </sheetData>
  <mergeCells count="1">
    <mergeCell ref="D5:H5"/>
  </mergeCells>
  <phoneticPr fontId="0" type="noConversion"/>
  <pageMargins left="0.7" right="0.7" top="0.25" bottom="0.25" header="0.3" footer="0.3"/>
  <pageSetup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17</vt:i4>
      </vt:variant>
    </vt:vector>
  </HeadingPairs>
  <TitlesOfParts>
    <vt:vector size="33" baseType="lpstr">
      <vt:lpstr>Budget details</vt:lpstr>
      <vt:lpstr>DATA FOR 7 yrs</vt:lpstr>
      <vt:lpstr>Base data clergy 07</vt:lpstr>
      <vt:lpstr>Other Conf</vt:lpstr>
      <vt:lpstr>clergy comp 08</vt:lpstr>
      <vt:lpstr>budget detail 09</vt:lpstr>
      <vt:lpstr>Four Fouces</vt:lpstr>
      <vt:lpstr>2008 Changes</vt:lpstr>
      <vt:lpstr>2009 Changes</vt:lpstr>
      <vt:lpstr>Mar CMF</vt:lpstr>
      <vt:lpstr>Table of Contents</vt:lpstr>
      <vt:lpstr>Schedule 1</vt:lpstr>
      <vt:lpstr>Schedule 2</vt:lpstr>
      <vt:lpstr>Schedule 3</vt:lpstr>
      <vt:lpstr>Schedule 4</vt:lpstr>
      <vt:lpstr>Schedule 5</vt:lpstr>
      <vt:lpstr>'Base data clergy 07'!Comp_2006_for_Moses</vt:lpstr>
      <vt:lpstr>'2009 Changes'!Print_Area</vt:lpstr>
      <vt:lpstr>'Base data clergy 07'!Print_Area</vt:lpstr>
      <vt:lpstr>'budget detail 09'!Print_Area</vt:lpstr>
      <vt:lpstr>'Budget details'!Print_Area</vt:lpstr>
      <vt:lpstr>'DATA FOR 7 yrs'!Print_Area</vt:lpstr>
      <vt:lpstr>'Mar CMF'!Print_Area</vt:lpstr>
      <vt:lpstr>'Schedule 1'!Print_Area</vt:lpstr>
      <vt:lpstr>'Schedule 2'!Print_Area</vt:lpstr>
      <vt:lpstr>'Schedule 3'!Print_Area</vt:lpstr>
      <vt:lpstr>'Schedule 4'!Print_Area</vt:lpstr>
      <vt:lpstr>'Schedule 5'!Print_Area</vt:lpstr>
      <vt:lpstr>'Table of Contents'!Print_Area</vt:lpstr>
      <vt:lpstr>'budget detail 09'!Print_Titles</vt:lpstr>
      <vt:lpstr>'Budget details'!Print_Titles</vt:lpstr>
      <vt:lpstr>'Mar CMF'!Print_Titles</vt:lpstr>
      <vt:lpstr>'Schedule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Moses Kumar</dc:creator>
  <cp:lastModifiedBy>James Brown</cp:lastModifiedBy>
  <cp:lastPrinted>2020-09-08T19:55:35Z</cp:lastPrinted>
  <dcterms:created xsi:type="dcterms:W3CDTF">2006-11-15T22:40:23Z</dcterms:created>
  <dcterms:modified xsi:type="dcterms:W3CDTF">2020-09-08T20:36:48Z</dcterms:modified>
</cp:coreProperties>
</file>